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реш." sheetId="103" r:id="rId1"/>
  </sheets>
  <definedNames>
    <definedName name="_xlnm.Print_Area" localSheetId="0">'к реш.'!$A$1:$N$57</definedName>
  </definedNames>
  <calcPr calcId="125725"/>
</workbook>
</file>

<file path=xl/calcChain.xml><?xml version="1.0" encoding="utf-8"?>
<calcChain xmlns="http://schemas.openxmlformats.org/spreadsheetml/2006/main">
  <c r="J42" i="103"/>
  <c r="M19"/>
  <c r="G19"/>
  <c r="M47"/>
  <c r="J47"/>
  <c r="G47"/>
  <c r="M46" l="1"/>
  <c r="J46"/>
  <c r="G46"/>
  <c r="M40"/>
  <c r="J40"/>
  <c r="G40"/>
  <c r="M37"/>
  <c r="J37"/>
  <c r="G37"/>
  <c r="M36"/>
  <c r="J36"/>
  <c r="G36"/>
  <c r="M42"/>
  <c r="G42"/>
  <c r="M39"/>
  <c r="M15"/>
  <c r="J15"/>
  <c r="G15"/>
  <c r="M14"/>
  <c r="J14"/>
  <c r="G14"/>
  <c r="F38"/>
  <c r="L19"/>
  <c r="I19"/>
  <c r="F19"/>
  <c r="I14"/>
  <c r="K14"/>
  <c r="L55"/>
  <c r="I55"/>
  <c r="K55"/>
  <c r="N55"/>
  <c r="F34"/>
  <c r="H19"/>
  <c r="H55"/>
  <c r="F53"/>
  <c r="L52"/>
  <c r="I52"/>
  <c r="L21"/>
  <c r="I21"/>
  <c r="F21"/>
  <c r="L16"/>
  <c r="I16"/>
  <c r="F16"/>
  <c r="L14"/>
  <c r="F14"/>
  <c r="L49"/>
  <c r="I49"/>
  <c r="F49"/>
  <c r="L47"/>
  <c r="I47"/>
  <c r="F47"/>
  <c r="L46"/>
  <c r="I46"/>
  <c r="F46"/>
  <c r="L40"/>
  <c r="I40"/>
  <c r="F40"/>
  <c r="L39"/>
  <c r="I39"/>
  <c r="F39"/>
  <c r="L38"/>
  <c r="I38"/>
  <c r="L37"/>
  <c r="I37"/>
  <c r="F37"/>
  <c r="L36"/>
  <c r="I36"/>
  <c r="F36"/>
  <c r="L13"/>
  <c r="I13"/>
  <c r="F13"/>
  <c r="L31"/>
  <c r="I31"/>
  <c r="F31"/>
  <c r="L30"/>
  <c r="I30"/>
  <c r="F30"/>
  <c r="L28"/>
  <c r="I28"/>
  <c r="F28"/>
  <c r="L50"/>
  <c r="I50"/>
  <c r="L45"/>
  <c r="I45"/>
  <c r="F45"/>
  <c r="L44"/>
  <c r="I44"/>
  <c r="F44"/>
  <c r="L42"/>
  <c r="F42"/>
  <c r="L34"/>
  <c r="I34"/>
  <c r="L27"/>
  <c r="I27"/>
  <c r="F27"/>
  <c r="L26"/>
  <c r="I26"/>
  <c r="F26"/>
  <c r="I23"/>
  <c r="F23"/>
  <c r="L15"/>
  <c r="I15"/>
  <c r="F15"/>
  <c r="L12"/>
  <c r="I12"/>
  <c r="F12"/>
  <c r="F24"/>
  <c r="M29" l="1"/>
  <c r="J29"/>
  <c r="I29"/>
  <c r="G29"/>
  <c r="F29"/>
  <c r="N32"/>
  <c r="K32"/>
  <c r="H32"/>
  <c r="N53" l="1"/>
  <c r="K53"/>
  <c r="H53"/>
  <c r="N52"/>
  <c r="K52"/>
  <c r="H52"/>
  <c r="M51"/>
  <c r="L51"/>
  <c r="J51"/>
  <c r="G51"/>
  <c r="F51"/>
  <c r="N50"/>
  <c r="K50"/>
  <c r="H50"/>
  <c r="N49"/>
  <c r="K49"/>
  <c r="H49"/>
  <c r="M48"/>
  <c r="J48"/>
  <c r="G48"/>
  <c r="N47"/>
  <c r="K47"/>
  <c r="H47"/>
  <c r="N46"/>
  <c r="K46"/>
  <c r="H46"/>
  <c r="N45"/>
  <c r="K45"/>
  <c r="H45"/>
  <c r="N44"/>
  <c r="K44"/>
  <c r="M43"/>
  <c r="J43"/>
  <c r="G43"/>
  <c r="N42"/>
  <c r="N41" s="1"/>
  <c r="K42"/>
  <c r="K41" s="1"/>
  <c r="H42"/>
  <c r="H41" s="1"/>
  <c r="M41"/>
  <c r="L41"/>
  <c r="J41"/>
  <c r="G41"/>
  <c r="F41"/>
  <c r="N40"/>
  <c r="K40"/>
  <c r="H40"/>
  <c r="N39"/>
  <c r="K39"/>
  <c r="H39"/>
  <c r="N38"/>
  <c r="K38"/>
  <c r="H38"/>
  <c r="N37"/>
  <c r="K37"/>
  <c r="G35"/>
  <c r="N36"/>
  <c r="K36"/>
  <c r="H36"/>
  <c r="M35"/>
  <c r="L35"/>
  <c r="J35"/>
  <c r="I35"/>
  <c r="F35"/>
  <c r="N34"/>
  <c r="N33" s="1"/>
  <c r="K34"/>
  <c r="H34"/>
  <c r="H33" s="1"/>
  <c r="M33"/>
  <c r="L33"/>
  <c r="K33"/>
  <c r="J33"/>
  <c r="I33"/>
  <c r="G33"/>
  <c r="K31"/>
  <c r="H31"/>
  <c r="N30"/>
  <c r="K30"/>
  <c r="H30"/>
  <c r="N28"/>
  <c r="K28"/>
  <c r="H28"/>
  <c r="N27"/>
  <c r="K27"/>
  <c r="H27"/>
  <c r="N26"/>
  <c r="K26"/>
  <c r="H26"/>
  <c r="N25"/>
  <c r="K25"/>
  <c r="H25"/>
  <c r="M24"/>
  <c r="J24"/>
  <c r="G24"/>
  <c r="N23"/>
  <c r="N22" s="1"/>
  <c r="K23"/>
  <c r="K22" s="1"/>
  <c r="H23"/>
  <c r="H22" s="1"/>
  <c r="M22"/>
  <c r="L22"/>
  <c r="J22"/>
  <c r="G22"/>
  <c r="N21"/>
  <c r="N20" s="1"/>
  <c r="K21"/>
  <c r="K20" s="1"/>
  <c r="H21"/>
  <c r="H20" s="1"/>
  <c r="M20"/>
  <c r="L20"/>
  <c r="J20"/>
  <c r="I20"/>
  <c r="G20"/>
  <c r="F20"/>
  <c r="N19"/>
  <c r="K19"/>
  <c r="N18"/>
  <c r="K18"/>
  <c r="H18"/>
  <c r="N17"/>
  <c r="K17"/>
  <c r="H17"/>
  <c r="N16"/>
  <c r="K16"/>
  <c r="H16"/>
  <c r="N15"/>
  <c r="K15"/>
  <c r="H15"/>
  <c r="N14"/>
  <c r="H14"/>
  <c r="N13"/>
  <c r="K13"/>
  <c r="H13"/>
  <c r="N12"/>
  <c r="K12"/>
  <c r="H12"/>
  <c r="M11"/>
  <c r="L11"/>
  <c r="J11"/>
  <c r="I11"/>
  <c r="G11"/>
  <c r="F11"/>
  <c r="J57" l="1"/>
  <c r="I57"/>
  <c r="G57"/>
  <c r="M57"/>
  <c r="F22"/>
  <c r="I22"/>
  <c r="I24"/>
  <c r="L24"/>
  <c r="I48"/>
  <c r="L48"/>
  <c r="H48"/>
  <c r="I51"/>
  <c r="N51"/>
  <c r="N31"/>
  <c r="L29"/>
  <c r="H44"/>
  <c r="H43" s="1"/>
  <c r="F43"/>
  <c r="H29"/>
  <c r="H51"/>
  <c r="N29"/>
  <c r="K43"/>
  <c r="N35"/>
  <c r="K35"/>
  <c r="H11"/>
  <c r="F33"/>
  <c r="F57" s="1"/>
  <c r="H37"/>
  <c r="H35" s="1"/>
  <c r="I41"/>
  <c r="I43"/>
  <c r="L43"/>
  <c r="F48"/>
  <c r="N48"/>
  <c r="K51"/>
  <c r="N11"/>
  <c r="K24"/>
  <c r="K11"/>
  <c r="H24"/>
  <c r="N24"/>
  <c r="K29"/>
  <c r="N43"/>
  <c r="K48"/>
  <c r="H57" l="1"/>
  <c r="K57"/>
  <c r="N57"/>
  <c r="L57"/>
</calcChain>
</file>

<file path=xl/sharedStrings.xml><?xml version="1.0" encoding="utf-8"?>
<sst xmlns="http://schemas.openxmlformats.org/spreadsheetml/2006/main" count="138" uniqueCount="75">
  <si>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</si>
  <si>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</si>
  <si>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</si>
  <si>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</si>
  <si>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</si>
  <si>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</si>
  <si>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</si>
  <si>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</si>
  <si>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</si>
  <si>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</si>
  <si>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</si>
  <si>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</si>
  <si>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</si>
  <si>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</si>
  <si>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</si>
  <si>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</si>
  <si>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</si>
  <si>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</si>
  <si>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</si>
  <si>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</si>
  <si>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</si>
  <si>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</si>
  <si>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</si>
  <si>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</si>
  <si>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</si>
  <si>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</si>
  <si>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</si>
  <si>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</si>
  <si>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</si>
  <si>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</si>
  <si>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</si>
  <si>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</si>
  <si>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</si>
  <si>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</si>
  <si>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</si>
  <si>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</si>
  <si>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</si>
  <si>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</si>
  <si>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</si>
  <si>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</si>
  <si>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</si>
  <si>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</si>
  <si>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</si>
  <si>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</si>
  <si>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</si>
  <si>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</si>
  <si>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</si>
  <si>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</si>
  <si>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</si>
  <si>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Прочие межбюджетные трансфкрты общего характера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</si>
  <si>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</si>
  <si>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</si>
  <si>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</si>
  <si>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</si>
  <si>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</si>
  <si>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</si>
  <si>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</si>
  <si>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</si>
  <si>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</si>
  <si>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</si>
  <si>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</si>
  <si>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</si>
  <si>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Сумма , рублей</t>
  </si>
  <si>
    <t>2023 год</t>
  </si>
  <si>
    <t>2024 год</t>
  </si>
  <si>
    <t>изменения (+,-), рублей</t>
  </si>
  <si>
    <t>Благоустройство</t>
  </si>
  <si>
    <t>проект,  рублей</t>
  </si>
  <si>
    <t>проект , рублей</t>
  </si>
  <si>
    <t>проект, рублей</t>
  </si>
  <si>
    <t>Распределение бюджетных ассигнований на 2023 год и на плановый период 2024 и 2025 годов по разделам и подразделам классификации расходов бюджетов</t>
  </si>
  <si>
    <t>2025 год</t>
  </si>
  <si>
    <t>Условно утвержденный расходы</t>
  </si>
  <si>
    <t>Приложение № 4</t>
  </si>
  <si>
    <t xml:space="preserve">                        от 22.12.2022  № 60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</si>
</sst>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5" fillId="0" borderId="0" xfId="0" applyFont="1"/>
    <xf numFmtId="2" fontId="2" fillId="0" borderId="0" xfId="0" applyNumberFormat="1" applyFont="1" applyFill="1" applyAlignment="1">
      <alignment horizontal="right"/>
    </xf>
    <xf numFmtId="0" fontId="1" fillId="0" borderId="0" xfId="2" applyFont="1" applyFill="1"/>
    <xf numFmtId="0" fontId="10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distributed"/>
    </xf>
    <xf numFmtId="0" fontId="10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49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topLeftCell="B2" zoomScaleNormal="100" workbookViewId="0">
      <selection activeCell="N5" sqref="N5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52.42578125" style="1" customWidth="1"/>
    <col min="4" max="4" width="8.85546875" style="4" customWidth="1"/>
    <col min="5" max="5" width="7.7109375" style="4" customWidth="1"/>
    <col min="6" max="6" width="13.42578125" style="1" hidden="1" customWidth="1"/>
    <col min="7" max="7" width="13.85546875" style="1" hidden="1" customWidth="1"/>
    <col min="8" max="8" width="13.140625" style="1" customWidth="1"/>
    <col min="9" max="9" width="13.42578125" style="1" hidden="1" customWidth="1"/>
    <col min="10" max="10" width="13.85546875" style="1" hidden="1" customWidth="1"/>
    <col min="11" max="11" width="13.28515625" style="1" customWidth="1"/>
    <col min="12" max="13" width="13.42578125" style="1" hidden="1" customWidth="1"/>
    <col min="14" max="14" width="16.140625" style="1" customWidth="1"/>
    <col min="15" max="16384" width="9.140625" style="1"/>
  </cols>
  <sheetData>
    <row r="1" spans="3:14" ht="15" hidden="1" customHeight="1"/>
    <row r="2" spans="3:14" ht="12.75">
      <c r="F2" s="13"/>
      <c r="G2" s="13"/>
      <c r="H2" s="13"/>
      <c r="I2" s="13"/>
      <c r="J2" s="13"/>
      <c r="K2" s="13"/>
      <c r="N2" s="12" t="s">
        <v>73</v>
      </c>
    </row>
    <row r="3" spans="3:14" ht="12.75">
      <c r="F3" s="13"/>
      <c r="G3" s="13"/>
      <c r="H3" s="13"/>
      <c r="I3" s="13"/>
      <c r="J3" s="13"/>
      <c r="K3" s="13"/>
      <c r="N3" s="13" t="s">
        <v>36</v>
      </c>
    </row>
    <row r="4" spans="3:14" ht="12.75">
      <c r="F4" s="13"/>
      <c r="G4" s="13"/>
      <c r="H4" s="13"/>
      <c r="I4" s="13"/>
      <c r="J4" s="13"/>
      <c r="K4" s="13"/>
      <c r="N4" s="12" t="s">
        <v>74</v>
      </c>
    </row>
    <row r="5" spans="3:14" ht="3" customHeight="1">
      <c r="F5" s="13"/>
      <c r="G5" s="13"/>
      <c r="H5" s="13"/>
      <c r="I5" s="13"/>
      <c r="J5" s="13"/>
      <c r="K5" s="13"/>
      <c r="L5" s="13"/>
    </row>
    <row r="6" spans="3:14" ht="34.5" customHeight="1">
      <c r="C6" s="53" t="s">
        <v>70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</row>
    <row r="7" spans="3:14" ht="14.25" customHeight="1">
      <c r="C7" s="54"/>
      <c r="D7" s="54"/>
      <c r="E7" s="54"/>
      <c r="F7" s="54"/>
      <c r="G7" s="15"/>
      <c r="H7" s="15"/>
    </row>
    <row r="8" spans="3:14" s="17" customFormat="1" ht="14.25" customHeight="1">
      <c r="C8" s="55" t="s">
        <v>0</v>
      </c>
      <c r="D8" s="57" t="s">
        <v>51</v>
      </c>
      <c r="E8" s="57" t="s">
        <v>50</v>
      </c>
      <c r="F8" s="59" t="s">
        <v>62</v>
      </c>
      <c r="G8" s="59"/>
      <c r="H8" s="59"/>
      <c r="I8" s="59"/>
      <c r="J8" s="59"/>
      <c r="K8" s="59"/>
      <c r="L8" s="59"/>
      <c r="M8" s="59"/>
      <c r="N8" s="59"/>
    </row>
    <row r="9" spans="3:14" s="17" customFormat="1" ht="36" customHeight="1">
      <c r="C9" s="56"/>
      <c r="D9" s="58"/>
      <c r="E9" s="58"/>
      <c r="F9" s="51" t="s">
        <v>67</v>
      </c>
      <c r="G9" s="51" t="s">
        <v>65</v>
      </c>
      <c r="H9" s="51" t="s">
        <v>63</v>
      </c>
      <c r="I9" s="52" t="s">
        <v>68</v>
      </c>
      <c r="J9" s="52" t="s">
        <v>65</v>
      </c>
      <c r="K9" s="52" t="s">
        <v>64</v>
      </c>
      <c r="L9" s="52" t="s">
        <v>69</v>
      </c>
      <c r="M9" s="52" t="s">
        <v>65</v>
      </c>
      <c r="N9" s="52" t="s">
        <v>71</v>
      </c>
    </row>
    <row r="10" spans="3:14" s="11" customFormat="1" ht="10.9" customHeight="1"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4</v>
      </c>
      <c r="I10" s="10">
        <v>7</v>
      </c>
      <c r="J10" s="10">
        <v>8</v>
      </c>
      <c r="K10" s="10">
        <v>5</v>
      </c>
      <c r="L10" s="10">
        <v>10</v>
      </c>
      <c r="M10" s="16">
        <v>11</v>
      </c>
      <c r="N10" s="16">
        <v>6</v>
      </c>
    </row>
    <row r="11" spans="3:14" ht="12.75">
      <c r="C11" s="20" t="s">
        <v>30</v>
      </c>
      <c r="D11" s="37" t="s">
        <v>1</v>
      </c>
      <c r="E11" s="37"/>
      <c r="F11" s="38">
        <f>SUM(F12:F19)</f>
        <v>79968417.060000002</v>
      </c>
      <c r="G11" s="38">
        <f t="shared" ref="G11:N11" si="0">SUM(G12:G19)</f>
        <v>252853.48</v>
      </c>
      <c r="H11" s="38">
        <f t="shared" si="0"/>
        <v>80221270.539999992</v>
      </c>
      <c r="I11" s="38">
        <f t="shared" si="0"/>
        <v>90320422.799999982</v>
      </c>
      <c r="J11" s="38">
        <f t="shared" si="0"/>
        <v>-70404.459999999992</v>
      </c>
      <c r="K11" s="38">
        <f t="shared" si="0"/>
        <v>90250018.340000004</v>
      </c>
      <c r="L11" s="38">
        <f t="shared" si="0"/>
        <v>82318407.969999999</v>
      </c>
      <c r="M11" s="38">
        <f t="shared" si="0"/>
        <v>-587868.67999999993</v>
      </c>
      <c r="N11" s="38">
        <f t="shared" si="0"/>
        <v>81730539.289999992</v>
      </c>
    </row>
    <row r="12" spans="3:14" ht="25.5">
      <c r="C12" s="21" t="s">
        <v>29</v>
      </c>
      <c r="D12" s="39" t="s">
        <v>1</v>
      </c>
      <c r="E12" s="39" t="s">
        <v>2</v>
      </c>
      <c r="F12" s="40">
        <f>2138140</f>
        <v>2138140</v>
      </c>
      <c r="G12" s="40"/>
      <c r="H12" s="40">
        <f>F12+G12</f>
        <v>2138140</v>
      </c>
      <c r="I12" s="40">
        <f>2244363</f>
        <v>2244363</v>
      </c>
      <c r="J12" s="40"/>
      <c r="K12" s="40">
        <f>I12+J12</f>
        <v>2244363</v>
      </c>
      <c r="L12" s="40">
        <f>2331796</f>
        <v>2331796</v>
      </c>
      <c r="M12" s="40"/>
      <c r="N12" s="40">
        <f>L12+M12</f>
        <v>2331796</v>
      </c>
    </row>
    <row r="13" spans="3:14" ht="38.25">
      <c r="C13" s="21" t="s">
        <v>26</v>
      </c>
      <c r="D13" s="39" t="s">
        <v>1</v>
      </c>
      <c r="E13" s="39" t="s">
        <v>3</v>
      </c>
      <c r="F13" s="40">
        <f>1390500</f>
        <v>1390500</v>
      </c>
      <c r="G13" s="40"/>
      <c r="H13" s="40">
        <f t="shared" ref="H13:H53" si="1">F13+G13</f>
        <v>1390500</v>
      </c>
      <c r="I13" s="40">
        <f>1433380</f>
        <v>1433380</v>
      </c>
      <c r="J13" s="40"/>
      <c r="K13" s="40">
        <f t="shared" ref="K13:K19" si="2">I13+J13</f>
        <v>1433380</v>
      </c>
      <c r="L13" s="40">
        <f>1478000</f>
        <v>1478000</v>
      </c>
      <c r="M13" s="40"/>
      <c r="N13" s="40">
        <f t="shared" ref="N13:N19" si="3">L13+M13</f>
        <v>1478000</v>
      </c>
    </row>
    <row r="14" spans="3:14" ht="38.25">
      <c r="C14" s="21" t="s">
        <v>37</v>
      </c>
      <c r="D14" s="39" t="s">
        <v>1</v>
      </c>
      <c r="E14" s="39" t="s">
        <v>10</v>
      </c>
      <c r="F14" s="40">
        <f>29591447.87+612500</f>
        <v>30203947.870000001</v>
      </c>
      <c r="G14" s="40">
        <f>19324.45</f>
        <v>19324.45</v>
      </c>
      <c r="H14" s="40">
        <f t="shared" si="1"/>
        <v>30223272.32</v>
      </c>
      <c r="I14" s="40">
        <f>31137618.24+612500</f>
        <v>31750118.239999998</v>
      </c>
      <c r="J14" s="40">
        <f>-68859.37</f>
        <v>-68859.37</v>
      </c>
      <c r="K14" s="40">
        <f>I14+J14</f>
        <v>31681258.869999997</v>
      </c>
      <c r="L14" s="40">
        <f>32519125.09+612500</f>
        <v>33131625.09</v>
      </c>
      <c r="M14" s="40">
        <f>-286211.02</f>
        <v>-286211.02</v>
      </c>
      <c r="N14" s="40">
        <f t="shared" si="3"/>
        <v>32845414.07</v>
      </c>
    </row>
    <row r="15" spans="3:14" ht="12.75">
      <c r="C15" s="21" t="s">
        <v>56</v>
      </c>
      <c r="D15" s="39" t="s">
        <v>1</v>
      </c>
      <c r="E15" s="39" t="s">
        <v>4</v>
      </c>
      <c r="F15" s="40">
        <f>2901.65</f>
        <v>2901.65</v>
      </c>
      <c r="G15" s="40">
        <f>-1911.32</f>
        <v>-1911.32</v>
      </c>
      <c r="H15" s="40">
        <f t="shared" si="1"/>
        <v>990.33000000000015</v>
      </c>
      <c r="I15" s="40">
        <f>2586.48</f>
        <v>2586.48</v>
      </c>
      <c r="J15" s="40">
        <f>-1545.09</f>
        <v>-1545.09</v>
      </c>
      <c r="K15" s="40">
        <f t="shared" si="2"/>
        <v>1041.3900000000001</v>
      </c>
      <c r="L15" s="40">
        <f>2586.58</f>
        <v>2586.58</v>
      </c>
      <c r="M15" s="40">
        <f>-1657.66</f>
        <v>-1657.66</v>
      </c>
      <c r="N15" s="40">
        <f t="shared" si="3"/>
        <v>928.91999999999985</v>
      </c>
    </row>
    <row r="16" spans="3:14" ht="37.5" customHeight="1">
      <c r="C16" s="21" t="s">
        <v>27</v>
      </c>
      <c r="D16" s="39" t="s">
        <v>1</v>
      </c>
      <c r="E16" s="39" t="s">
        <v>11</v>
      </c>
      <c r="F16" s="40">
        <f>1913500+8024706</f>
        <v>9938206</v>
      </c>
      <c r="G16" s="40"/>
      <c r="H16" s="40">
        <f t="shared" si="1"/>
        <v>9938206</v>
      </c>
      <c r="I16" s="40">
        <f>1988000+8392681</f>
        <v>10380681</v>
      </c>
      <c r="J16" s="40"/>
      <c r="K16" s="40">
        <f t="shared" si="2"/>
        <v>10380681</v>
      </c>
      <c r="L16" s="40">
        <f>2065300+8694600</f>
        <v>10759900</v>
      </c>
      <c r="M16" s="40"/>
      <c r="N16" s="40">
        <f t="shared" si="3"/>
        <v>10759900</v>
      </c>
    </row>
    <row r="17" spans="3:14" ht="12.75" hidden="1">
      <c r="C17" s="21" t="s">
        <v>57</v>
      </c>
      <c r="D17" s="39" t="s">
        <v>1</v>
      </c>
      <c r="E17" s="39" t="s">
        <v>5</v>
      </c>
      <c r="F17" s="40"/>
      <c r="G17" s="40"/>
      <c r="H17" s="40">
        <f t="shared" si="1"/>
        <v>0</v>
      </c>
      <c r="I17" s="40"/>
      <c r="J17" s="40"/>
      <c r="K17" s="40">
        <f t="shared" si="2"/>
        <v>0</v>
      </c>
      <c r="L17" s="40"/>
      <c r="M17" s="40"/>
      <c r="N17" s="40">
        <f t="shared" si="3"/>
        <v>0</v>
      </c>
    </row>
    <row r="18" spans="3:14" ht="12.75">
      <c r="C18" s="21" t="s">
        <v>7</v>
      </c>
      <c r="D18" s="39" t="s">
        <v>1</v>
      </c>
      <c r="E18" s="39" t="s">
        <v>19</v>
      </c>
      <c r="F18" s="40">
        <v>300000</v>
      </c>
      <c r="G18" s="40"/>
      <c r="H18" s="40">
        <f t="shared" si="1"/>
        <v>300000</v>
      </c>
      <c r="I18" s="40">
        <v>0</v>
      </c>
      <c r="J18" s="40"/>
      <c r="K18" s="40">
        <f t="shared" si="2"/>
        <v>0</v>
      </c>
      <c r="L18" s="40">
        <v>0</v>
      </c>
      <c r="M18" s="40"/>
      <c r="N18" s="40">
        <f t="shared" si="3"/>
        <v>0</v>
      </c>
    </row>
    <row r="19" spans="3:14" ht="12.75">
      <c r="C19" s="22" t="s">
        <v>21</v>
      </c>
      <c r="D19" s="39" t="s">
        <v>1</v>
      </c>
      <c r="E19" s="39" t="s">
        <v>43</v>
      </c>
      <c r="F19" s="40">
        <f>13437167.5+7535982.2+15281571.84-260000</f>
        <v>35994721.539999999</v>
      </c>
      <c r="G19" s="40">
        <f>235440.35</f>
        <v>235440.35</v>
      </c>
      <c r="H19" s="40">
        <f>F19+G19</f>
        <v>36230161.890000001</v>
      </c>
      <c r="I19" s="40">
        <f>12395590.5+6675285.59+25438417.99</f>
        <v>44509294.079999998</v>
      </c>
      <c r="J19" s="40"/>
      <c r="K19" s="40">
        <f t="shared" si="2"/>
        <v>44509294.079999998</v>
      </c>
      <c r="L19" s="40">
        <f>12816158.5+6904450.61+14893891.19</f>
        <v>34614500.299999997</v>
      </c>
      <c r="M19" s="40">
        <f>-300000</f>
        <v>-300000</v>
      </c>
      <c r="N19" s="40">
        <f t="shared" si="3"/>
        <v>34314500.299999997</v>
      </c>
    </row>
    <row r="20" spans="3:14" ht="12.75">
      <c r="C20" s="23" t="s">
        <v>44</v>
      </c>
      <c r="D20" s="41" t="s">
        <v>2</v>
      </c>
      <c r="E20" s="41"/>
      <c r="F20" s="38">
        <f>F21</f>
        <v>1140304.2</v>
      </c>
      <c r="G20" s="38">
        <f t="shared" ref="G20:N20" si="4">G21</f>
        <v>18179.46</v>
      </c>
      <c r="H20" s="38">
        <f t="shared" si="4"/>
        <v>1158483.6599999999</v>
      </c>
      <c r="I20" s="38">
        <f t="shared" si="4"/>
        <v>1181079.48</v>
      </c>
      <c r="J20" s="38">
        <f t="shared" si="4"/>
        <v>32788.019999999997</v>
      </c>
      <c r="K20" s="38">
        <f t="shared" si="4"/>
        <v>1213867.5</v>
      </c>
      <c r="L20" s="38">
        <f t="shared" si="4"/>
        <v>1226407.32</v>
      </c>
      <c r="M20" s="38">
        <f t="shared" si="4"/>
        <v>32741.040000000001</v>
      </c>
      <c r="N20" s="38">
        <f t="shared" si="4"/>
        <v>1259148.3600000001</v>
      </c>
    </row>
    <row r="21" spans="3:14" ht="12.75">
      <c r="C21" s="24" t="s">
        <v>40</v>
      </c>
      <c r="D21" s="42" t="s">
        <v>2</v>
      </c>
      <c r="E21" s="42" t="s">
        <v>3</v>
      </c>
      <c r="F21" s="40">
        <f>1140304.2</f>
        <v>1140304.2</v>
      </c>
      <c r="G21" s="40">
        <v>18179.46</v>
      </c>
      <c r="H21" s="40">
        <f t="shared" si="1"/>
        <v>1158483.6599999999</v>
      </c>
      <c r="I21" s="40">
        <f>1181079.48</f>
        <v>1181079.48</v>
      </c>
      <c r="J21" s="40">
        <v>32788.019999999997</v>
      </c>
      <c r="K21" s="40">
        <f t="shared" ref="K21" si="5">I21+J21</f>
        <v>1213867.5</v>
      </c>
      <c r="L21" s="40">
        <f>1226407.32</f>
        <v>1226407.32</v>
      </c>
      <c r="M21" s="40">
        <v>32741.040000000001</v>
      </c>
      <c r="N21" s="40">
        <f t="shared" ref="N21" si="6">L21+M21</f>
        <v>1259148.3600000001</v>
      </c>
    </row>
    <row r="22" spans="3:14" ht="25.5">
      <c r="C22" s="25" t="s">
        <v>31</v>
      </c>
      <c r="D22" s="37" t="s">
        <v>3</v>
      </c>
      <c r="E22" s="37"/>
      <c r="F22" s="38">
        <f>F23</f>
        <v>200000</v>
      </c>
      <c r="G22" s="38">
        <f t="shared" ref="G22:N22" si="7">G23</f>
        <v>0</v>
      </c>
      <c r="H22" s="38">
        <f t="shared" si="7"/>
        <v>200000</v>
      </c>
      <c r="I22" s="38">
        <f t="shared" si="7"/>
        <v>100000</v>
      </c>
      <c r="J22" s="38">
        <f t="shared" si="7"/>
        <v>0</v>
      </c>
      <c r="K22" s="38">
        <f t="shared" si="7"/>
        <v>100000</v>
      </c>
      <c r="L22" s="38">
        <f t="shared" si="7"/>
        <v>0</v>
      </c>
      <c r="M22" s="38">
        <f t="shared" si="7"/>
        <v>0</v>
      </c>
      <c r="N22" s="38">
        <f t="shared" si="7"/>
        <v>0</v>
      </c>
    </row>
    <row r="23" spans="3:14" s="6" customFormat="1" ht="25.5">
      <c r="C23" s="26" t="s">
        <v>61</v>
      </c>
      <c r="D23" s="42" t="s">
        <v>3</v>
      </c>
      <c r="E23" s="42" t="s">
        <v>9</v>
      </c>
      <c r="F23" s="40">
        <f>200000</f>
        <v>200000</v>
      </c>
      <c r="G23" s="40"/>
      <c r="H23" s="40">
        <f t="shared" si="1"/>
        <v>200000</v>
      </c>
      <c r="I23" s="40">
        <f>100000</f>
        <v>100000</v>
      </c>
      <c r="J23" s="40"/>
      <c r="K23" s="40">
        <f t="shared" ref="K23" si="8">I23+J23</f>
        <v>100000</v>
      </c>
      <c r="L23" s="40">
        <v>0</v>
      </c>
      <c r="M23" s="40"/>
      <c r="N23" s="40">
        <f t="shared" ref="N23" si="9">L23+M23</f>
        <v>0</v>
      </c>
    </row>
    <row r="24" spans="3:14" ht="15" customHeight="1">
      <c r="C24" s="27" t="s">
        <v>32</v>
      </c>
      <c r="D24" s="43" t="s">
        <v>10</v>
      </c>
      <c r="E24" s="43"/>
      <c r="F24" s="38">
        <f>SUM(F25:F28)</f>
        <v>30609873</v>
      </c>
      <c r="G24" s="38">
        <f t="shared" ref="G24:N24" si="10">SUM(G25:G28)</f>
        <v>0</v>
      </c>
      <c r="H24" s="38">
        <f t="shared" si="10"/>
        <v>30609873</v>
      </c>
      <c r="I24" s="38">
        <f t="shared" si="10"/>
        <v>32286657</v>
      </c>
      <c r="J24" s="38">
        <f t="shared" si="10"/>
        <v>0</v>
      </c>
      <c r="K24" s="38">
        <f t="shared" si="10"/>
        <v>32286657</v>
      </c>
      <c r="L24" s="38">
        <f t="shared" si="10"/>
        <v>33301052</v>
      </c>
      <c r="M24" s="38">
        <f t="shared" si="10"/>
        <v>0</v>
      </c>
      <c r="N24" s="38">
        <f t="shared" si="10"/>
        <v>33301052</v>
      </c>
    </row>
    <row r="25" spans="3:14" ht="12.75" hidden="1">
      <c r="C25" s="28" t="s">
        <v>54</v>
      </c>
      <c r="D25" s="44" t="s">
        <v>10</v>
      </c>
      <c r="E25" s="44" t="s">
        <v>4</v>
      </c>
      <c r="F25" s="40"/>
      <c r="G25" s="40"/>
      <c r="H25" s="40">
        <f t="shared" si="1"/>
        <v>0</v>
      </c>
      <c r="I25" s="40"/>
      <c r="J25" s="40"/>
      <c r="K25" s="40">
        <f t="shared" ref="K25:K28" si="11">I25+J25</f>
        <v>0</v>
      </c>
      <c r="L25" s="40"/>
      <c r="M25" s="40"/>
      <c r="N25" s="40">
        <f t="shared" ref="N25:N28" si="12">L25+M25</f>
        <v>0</v>
      </c>
    </row>
    <row r="26" spans="3:14" ht="12.75">
      <c r="C26" s="24" t="s">
        <v>12</v>
      </c>
      <c r="D26" s="42" t="s">
        <v>10</v>
      </c>
      <c r="E26" s="42" t="s">
        <v>13</v>
      </c>
      <c r="F26" s="40">
        <f>2990454</f>
        <v>2990454</v>
      </c>
      <c r="G26" s="40"/>
      <c r="H26" s="40">
        <f t="shared" si="1"/>
        <v>2990454</v>
      </c>
      <c r="I26" s="40">
        <f>2990454</f>
        <v>2990454</v>
      </c>
      <c r="J26" s="40"/>
      <c r="K26" s="40">
        <f t="shared" si="11"/>
        <v>2990454</v>
      </c>
      <c r="L26" s="40">
        <f>2990454</f>
        <v>2990454</v>
      </c>
      <c r="M26" s="40"/>
      <c r="N26" s="40">
        <f t="shared" si="12"/>
        <v>2990454</v>
      </c>
    </row>
    <row r="27" spans="3:14" ht="12.75">
      <c r="C27" s="24" t="s">
        <v>48</v>
      </c>
      <c r="D27" s="42" t="s">
        <v>10</v>
      </c>
      <c r="E27" s="42" t="s">
        <v>8</v>
      </c>
      <c r="F27" s="40">
        <f>26209419</f>
        <v>26209419</v>
      </c>
      <c r="G27" s="40"/>
      <c r="H27" s="40">
        <f t="shared" si="1"/>
        <v>26209419</v>
      </c>
      <c r="I27" s="40">
        <f>28197006</f>
        <v>28197006</v>
      </c>
      <c r="J27" s="40"/>
      <c r="K27" s="40">
        <f t="shared" si="11"/>
        <v>28197006</v>
      </c>
      <c r="L27" s="40">
        <f>29211401</f>
        <v>29211401</v>
      </c>
      <c r="M27" s="40"/>
      <c r="N27" s="40">
        <f t="shared" si="12"/>
        <v>29211401</v>
      </c>
    </row>
    <row r="28" spans="3:14" ht="12.75">
      <c r="C28" s="29" t="s">
        <v>20</v>
      </c>
      <c r="D28" s="45" t="s">
        <v>10</v>
      </c>
      <c r="E28" s="45" t="s">
        <v>6</v>
      </c>
      <c r="F28" s="40">
        <f>1010000+400000</f>
        <v>1410000</v>
      </c>
      <c r="G28" s="40"/>
      <c r="H28" s="40">
        <f t="shared" si="1"/>
        <v>1410000</v>
      </c>
      <c r="I28" s="40">
        <f>699197+400000</f>
        <v>1099197</v>
      </c>
      <c r="J28" s="40"/>
      <c r="K28" s="40">
        <f t="shared" si="11"/>
        <v>1099197</v>
      </c>
      <c r="L28" s="40">
        <f>699197+400000</f>
        <v>1099197</v>
      </c>
      <c r="M28" s="40"/>
      <c r="N28" s="40">
        <f t="shared" si="12"/>
        <v>1099197</v>
      </c>
    </row>
    <row r="29" spans="3:14" ht="12.75">
      <c r="C29" s="30" t="s">
        <v>39</v>
      </c>
      <c r="D29" s="46" t="s">
        <v>4</v>
      </c>
      <c r="E29" s="46"/>
      <c r="F29" s="38">
        <f>F31+F30+F32</f>
        <v>19952743.869999997</v>
      </c>
      <c r="G29" s="38">
        <f>G31+G30+G32</f>
        <v>0</v>
      </c>
      <c r="H29" s="38">
        <f>H31+H30+H32</f>
        <v>19952743.869999997</v>
      </c>
      <c r="I29" s="38">
        <f>I31+I30+I32</f>
        <v>6625500.6799999997</v>
      </c>
      <c r="J29" s="38">
        <f>J31+J30+J32</f>
        <v>0</v>
      </c>
      <c r="K29" s="38">
        <f t="shared" ref="K29:N29" si="13">K31+K30</f>
        <v>6625500.6799999997</v>
      </c>
      <c r="L29" s="38">
        <f>L31+L30+L32</f>
        <v>6659600.7000000002</v>
      </c>
      <c r="M29" s="38">
        <f>M31+M30+M32</f>
        <v>0</v>
      </c>
      <c r="N29" s="38">
        <f t="shared" si="13"/>
        <v>6659600.7000000002</v>
      </c>
    </row>
    <row r="30" spans="3:14" ht="12.75">
      <c r="C30" s="29" t="s">
        <v>55</v>
      </c>
      <c r="D30" s="45" t="s">
        <v>4</v>
      </c>
      <c r="E30" s="45" t="s">
        <v>1</v>
      </c>
      <c r="F30" s="40">
        <f>12152137.2+2810940</f>
        <v>14963077.199999999</v>
      </c>
      <c r="G30" s="40"/>
      <c r="H30" s="40">
        <f t="shared" si="1"/>
        <v>14963077.199999999</v>
      </c>
      <c r="I30" s="40">
        <f>800000+2852500.68</f>
        <v>3652500.68</v>
      </c>
      <c r="J30" s="40"/>
      <c r="K30" s="40">
        <f t="shared" ref="K30:K32" si="14">I30+J30</f>
        <v>3652500.68</v>
      </c>
      <c r="L30" s="40">
        <f>800000+2886600.7</f>
        <v>3686600.7</v>
      </c>
      <c r="M30" s="40"/>
      <c r="N30" s="40">
        <f t="shared" ref="N30:N32" si="15">L30+M30</f>
        <v>3686600.7</v>
      </c>
    </row>
    <row r="31" spans="3:14" ht="13.5" customHeight="1">
      <c r="C31" s="29" t="s">
        <v>41</v>
      </c>
      <c r="D31" s="45" t="s">
        <v>4</v>
      </c>
      <c r="E31" s="45" t="s">
        <v>2</v>
      </c>
      <c r="F31" s="40">
        <f>4589666.67+400000</f>
        <v>4989666.67</v>
      </c>
      <c r="G31" s="40"/>
      <c r="H31" s="40">
        <f t="shared" si="1"/>
        <v>4989666.67</v>
      </c>
      <c r="I31" s="40">
        <f>2573000+400000</f>
        <v>2973000</v>
      </c>
      <c r="J31" s="40"/>
      <c r="K31" s="40">
        <f t="shared" si="14"/>
        <v>2973000</v>
      </c>
      <c r="L31" s="40">
        <f>2573000+400000</f>
        <v>2973000</v>
      </c>
      <c r="M31" s="40"/>
      <c r="N31" s="40">
        <f t="shared" si="15"/>
        <v>2973000</v>
      </c>
    </row>
    <row r="32" spans="3:14" ht="12.75" hidden="1">
      <c r="C32" s="29" t="s">
        <v>66</v>
      </c>
      <c r="D32" s="45" t="s">
        <v>4</v>
      </c>
      <c r="E32" s="45" t="s">
        <v>3</v>
      </c>
      <c r="F32" s="40"/>
      <c r="G32" s="40"/>
      <c r="H32" s="40">
        <f t="shared" si="1"/>
        <v>0</v>
      </c>
      <c r="I32" s="40"/>
      <c r="J32" s="40"/>
      <c r="K32" s="40">
        <f t="shared" si="14"/>
        <v>0</v>
      </c>
      <c r="L32" s="40"/>
      <c r="M32" s="40"/>
      <c r="N32" s="40">
        <f t="shared" si="15"/>
        <v>0</v>
      </c>
    </row>
    <row r="33" spans="2:14" s="7" customFormat="1" ht="12.75">
      <c r="C33" s="30" t="s">
        <v>52</v>
      </c>
      <c r="D33" s="46" t="s">
        <v>11</v>
      </c>
      <c r="E33" s="46"/>
      <c r="F33" s="38">
        <f>F34</f>
        <v>2430000</v>
      </c>
      <c r="G33" s="38">
        <f t="shared" ref="G33:N33" si="16">G34</f>
        <v>0</v>
      </c>
      <c r="H33" s="38">
        <f t="shared" si="16"/>
        <v>2430000</v>
      </c>
      <c r="I33" s="38">
        <f t="shared" si="16"/>
        <v>1170000</v>
      </c>
      <c r="J33" s="38">
        <f t="shared" si="16"/>
        <v>0</v>
      </c>
      <c r="K33" s="38">
        <f t="shared" si="16"/>
        <v>1170000</v>
      </c>
      <c r="L33" s="38">
        <f t="shared" si="16"/>
        <v>1170000</v>
      </c>
      <c r="M33" s="38">
        <f t="shared" si="16"/>
        <v>0</v>
      </c>
      <c r="N33" s="38">
        <f t="shared" si="16"/>
        <v>1170000</v>
      </c>
    </row>
    <row r="34" spans="2:14" ht="12.75">
      <c r="C34" s="29" t="s">
        <v>53</v>
      </c>
      <c r="D34" s="45" t="s">
        <v>11</v>
      </c>
      <c r="E34" s="45" t="s">
        <v>4</v>
      </c>
      <c r="F34" s="40">
        <f>2170000+260000</f>
        <v>2430000</v>
      </c>
      <c r="G34" s="40"/>
      <c r="H34" s="40">
        <f t="shared" si="1"/>
        <v>2430000</v>
      </c>
      <c r="I34" s="40">
        <f>1170000</f>
        <v>1170000</v>
      </c>
      <c r="J34" s="40"/>
      <c r="K34" s="40">
        <f t="shared" ref="K34" si="17">I34+J34</f>
        <v>1170000</v>
      </c>
      <c r="L34" s="40">
        <f>1170000</f>
        <v>1170000</v>
      </c>
      <c r="M34" s="40"/>
      <c r="N34" s="40">
        <f t="shared" ref="N34" si="18">L34+M34</f>
        <v>1170000</v>
      </c>
    </row>
    <row r="35" spans="2:14" ht="12.75">
      <c r="C35" s="23" t="s">
        <v>33</v>
      </c>
      <c r="D35" s="41" t="s">
        <v>5</v>
      </c>
      <c r="E35" s="41"/>
      <c r="F35" s="38">
        <f>SUM(F36:F40)</f>
        <v>547847326.13</v>
      </c>
      <c r="G35" s="38">
        <f t="shared" ref="G35:N35" si="19">SUM(G36:G40)</f>
        <v>-3483524.3899999987</v>
      </c>
      <c r="H35" s="38">
        <f t="shared" si="19"/>
        <v>544363801.74000001</v>
      </c>
      <c r="I35" s="38">
        <f t="shared" si="19"/>
        <v>559209263.83000004</v>
      </c>
      <c r="J35" s="38">
        <f t="shared" si="19"/>
        <v>-2706756.049999997</v>
      </c>
      <c r="K35" s="38">
        <f t="shared" si="19"/>
        <v>556502507.78000009</v>
      </c>
      <c r="L35" s="38">
        <f t="shared" si="19"/>
        <v>570369541.05000007</v>
      </c>
      <c r="M35" s="38">
        <f t="shared" si="19"/>
        <v>-2094148.4100000001</v>
      </c>
      <c r="N35" s="38">
        <f t="shared" si="19"/>
        <v>568275392.6400001</v>
      </c>
    </row>
    <row r="36" spans="2:14" ht="12.75">
      <c r="C36" s="24" t="s">
        <v>17</v>
      </c>
      <c r="D36" s="42" t="s">
        <v>5</v>
      </c>
      <c r="E36" s="42" t="s">
        <v>1</v>
      </c>
      <c r="F36" s="40">
        <f>149602077</f>
        <v>149602077</v>
      </c>
      <c r="G36" s="40">
        <f>-3232683</f>
        <v>-3232683</v>
      </c>
      <c r="H36" s="40">
        <f t="shared" si="1"/>
        <v>146369394</v>
      </c>
      <c r="I36" s="40">
        <f>150187369</f>
        <v>150187369</v>
      </c>
      <c r="J36" s="40">
        <f>-2422565</f>
        <v>-2422565</v>
      </c>
      <c r="K36" s="40">
        <f t="shared" ref="K36:K40" si="20">I36+J36</f>
        <v>147764804</v>
      </c>
      <c r="L36" s="40">
        <f>154150009</f>
        <v>154150009</v>
      </c>
      <c r="M36" s="40">
        <f>-2337166</f>
        <v>-2337166</v>
      </c>
      <c r="N36" s="40">
        <f t="shared" ref="N36:N40" si="21">L36+M36</f>
        <v>151812843</v>
      </c>
    </row>
    <row r="37" spans="2:14" ht="12.75">
      <c r="C37" s="29" t="s">
        <v>14</v>
      </c>
      <c r="D37" s="45" t="s">
        <v>5</v>
      </c>
      <c r="E37" s="45" t="s">
        <v>2</v>
      </c>
      <c r="F37" s="40">
        <f>345829901</f>
        <v>345829901</v>
      </c>
      <c r="G37" s="40">
        <f>-15548770.29</f>
        <v>-15548770.289999999</v>
      </c>
      <c r="H37" s="40">
        <f t="shared" si="1"/>
        <v>330281130.70999998</v>
      </c>
      <c r="I37" s="40">
        <f>367940528</f>
        <v>367940528</v>
      </c>
      <c r="J37" s="40">
        <f>-21956065.83</f>
        <v>-21956065.829999998</v>
      </c>
      <c r="K37" s="40">
        <f t="shared" si="20"/>
        <v>345984462.17000002</v>
      </c>
      <c r="L37" s="40">
        <f>373527488.22</f>
        <v>373527488.22000003</v>
      </c>
      <c r="M37" s="40">
        <f>-21079613.34</f>
        <v>-21079613.34</v>
      </c>
      <c r="N37" s="40">
        <f t="shared" si="21"/>
        <v>352447874.88000005</v>
      </c>
    </row>
    <row r="38" spans="2:14" ht="12.75">
      <c r="C38" s="29" t="s">
        <v>59</v>
      </c>
      <c r="D38" s="45" t="s">
        <v>5</v>
      </c>
      <c r="E38" s="45" t="s">
        <v>3</v>
      </c>
      <c r="F38" s="40">
        <f>12682979.81+17188395</f>
        <v>29871374.810000002</v>
      </c>
      <c r="G38" s="40">
        <v>-100000</v>
      </c>
      <c r="H38" s="40">
        <f t="shared" si="1"/>
        <v>29771374.810000002</v>
      </c>
      <c r="I38" s="40">
        <f>12716366.85+17716825</f>
        <v>30433191.850000001</v>
      </c>
      <c r="J38" s="40"/>
      <c r="K38" s="40">
        <f t="shared" si="20"/>
        <v>30433191.850000001</v>
      </c>
      <c r="L38" s="40">
        <f>12832694.49+18466934</f>
        <v>31299628.490000002</v>
      </c>
      <c r="M38" s="40"/>
      <c r="N38" s="40">
        <f t="shared" si="21"/>
        <v>31299628.490000002</v>
      </c>
    </row>
    <row r="39" spans="2:14" ht="12.75">
      <c r="C39" s="29" t="s">
        <v>18</v>
      </c>
      <c r="D39" s="45" t="s">
        <v>5</v>
      </c>
      <c r="E39" s="45" t="s">
        <v>5</v>
      </c>
      <c r="F39" s="40">
        <f>300000+120000</f>
        <v>420000</v>
      </c>
      <c r="G39" s="40"/>
      <c r="H39" s="40">
        <f t="shared" si="1"/>
        <v>420000</v>
      </c>
      <c r="I39" s="40">
        <f>300000+120000</f>
        <v>420000</v>
      </c>
      <c r="J39" s="40"/>
      <c r="K39" s="40">
        <f t="shared" si="20"/>
        <v>420000</v>
      </c>
      <c r="L39" s="40">
        <f>790000+120000</f>
        <v>910000</v>
      </c>
      <c r="M39" s="40">
        <f>300000</f>
        <v>300000</v>
      </c>
      <c r="N39" s="40">
        <f t="shared" si="21"/>
        <v>1210000</v>
      </c>
    </row>
    <row r="40" spans="2:14" ht="12.75">
      <c r="C40" s="29" t="s">
        <v>15</v>
      </c>
      <c r="D40" s="45" t="s">
        <v>5</v>
      </c>
      <c r="E40" s="45" t="s">
        <v>8</v>
      </c>
      <c r="F40" s="40">
        <f>22123973.32</f>
        <v>22123973.32</v>
      </c>
      <c r="G40" s="40">
        <f>15397928.9</f>
        <v>15397928.9</v>
      </c>
      <c r="H40" s="40">
        <f t="shared" si="1"/>
        <v>37521902.219999999</v>
      </c>
      <c r="I40" s="40">
        <f>10228174.98</f>
        <v>10228174.98</v>
      </c>
      <c r="J40" s="40">
        <f>21671874.78</f>
        <v>21671874.780000001</v>
      </c>
      <c r="K40" s="40">
        <f t="shared" si="20"/>
        <v>31900049.760000002</v>
      </c>
      <c r="L40" s="40">
        <f>10482415.34</f>
        <v>10482415.34</v>
      </c>
      <c r="M40" s="40">
        <f>21022630.93</f>
        <v>21022630.93</v>
      </c>
      <c r="N40" s="40">
        <f t="shared" si="21"/>
        <v>31505046.27</v>
      </c>
    </row>
    <row r="41" spans="2:14" ht="12.75">
      <c r="C41" s="30" t="s">
        <v>60</v>
      </c>
      <c r="D41" s="46" t="s">
        <v>13</v>
      </c>
      <c r="E41" s="46"/>
      <c r="F41" s="38">
        <f>F42</f>
        <v>110499042.48999999</v>
      </c>
      <c r="G41" s="38">
        <f t="shared" ref="G41:N41" si="22">G42</f>
        <v>-1194628.0900000001</v>
      </c>
      <c r="H41" s="38">
        <f t="shared" si="22"/>
        <v>109304414.39999999</v>
      </c>
      <c r="I41" s="38">
        <f t="shared" si="22"/>
        <v>110464655.79000001</v>
      </c>
      <c r="J41" s="38">
        <f t="shared" si="22"/>
        <v>-1276260.79</v>
      </c>
      <c r="K41" s="38">
        <f t="shared" si="22"/>
        <v>109188395</v>
      </c>
      <c r="L41" s="38">
        <f t="shared" si="22"/>
        <v>110226245.52</v>
      </c>
      <c r="M41" s="38">
        <f t="shared" si="22"/>
        <v>-1037602.76</v>
      </c>
      <c r="N41" s="38">
        <f t="shared" si="22"/>
        <v>109188642.75999999</v>
      </c>
    </row>
    <row r="42" spans="2:14" ht="12.75">
      <c r="C42" s="29" t="s">
        <v>16</v>
      </c>
      <c r="D42" s="45" t="s">
        <v>13</v>
      </c>
      <c r="E42" s="45" t="s">
        <v>1</v>
      </c>
      <c r="F42" s="40">
        <f>110499042.49</f>
        <v>110499042.48999999</v>
      </c>
      <c r="G42" s="40">
        <f>-1194628.09</f>
        <v>-1194628.0900000001</v>
      </c>
      <c r="H42" s="40">
        <f t="shared" si="1"/>
        <v>109304414.39999999</v>
      </c>
      <c r="I42" s="40">
        <v>110464655.79000001</v>
      </c>
      <c r="J42" s="40">
        <f>-1276260.79</f>
        <v>-1276260.79</v>
      </c>
      <c r="K42" s="40">
        <f t="shared" ref="K42" si="23">I42+J42</f>
        <v>109188395</v>
      </c>
      <c r="L42" s="40">
        <f>110226245.52</f>
        <v>110226245.52</v>
      </c>
      <c r="M42" s="40">
        <f>-1037602.76</f>
        <v>-1037602.76</v>
      </c>
      <c r="N42" s="40">
        <f t="shared" ref="N42" si="24">L42+M42</f>
        <v>109188642.75999999</v>
      </c>
    </row>
    <row r="43" spans="2:14" ht="12.75">
      <c r="C43" s="25" t="s">
        <v>34</v>
      </c>
      <c r="D43" s="37" t="s">
        <v>9</v>
      </c>
      <c r="E43" s="47"/>
      <c r="F43" s="38">
        <f>SUM(F44:F47)</f>
        <v>38633094.629999995</v>
      </c>
      <c r="G43" s="38">
        <f t="shared" ref="G43:N43" si="25">SUM(G44:G47)</f>
        <v>456563.64</v>
      </c>
      <c r="H43" s="38">
        <f t="shared" si="25"/>
        <v>39089658.269999996</v>
      </c>
      <c r="I43" s="38">
        <f t="shared" si="25"/>
        <v>22029017.77</v>
      </c>
      <c r="J43" s="38">
        <f t="shared" si="25"/>
        <v>335182.06999999995</v>
      </c>
      <c r="K43" s="38">
        <f t="shared" si="25"/>
        <v>22364199.840000004</v>
      </c>
      <c r="L43" s="38">
        <f t="shared" si="25"/>
        <v>22621512.920000002</v>
      </c>
      <c r="M43" s="38">
        <f t="shared" si="25"/>
        <v>35270.049999999988</v>
      </c>
      <c r="N43" s="38">
        <f t="shared" si="25"/>
        <v>22656782.970000003</v>
      </c>
    </row>
    <row r="44" spans="2:14" ht="12.75">
      <c r="C44" s="31" t="s">
        <v>22</v>
      </c>
      <c r="D44" s="39" t="s">
        <v>9</v>
      </c>
      <c r="E44" s="39" t="s">
        <v>1</v>
      </c>
      <c r="F44" s="40">
        <f>887000</f>
        <v>887000</v>
      </c>
      <c r="G44" s="40"/>
      <c r="H44" s="40">
        <f t="shared" si="1"/>
        <v>887000</v>
      </c>
      <c r="I44" s="40">
        <f>1131000</f>
        <v>1131000</v>
      </c>
      <c r="J44" s="40"/>
      <c r="K44" s="40">
        <f t="shared" ref="K44:K47" si="26">I44+J44</f>
        <v>1131000</v>
      </c>
      <c r="L44" s="40">
        <f>1131000</f>
        <v>1131000</v>
      </c>
      <c r="M44" s="40"/>
      <c r="N44" s="40">
        <f t="shared" ref="N44:N47" si="27">L44+M44</f>
        <v>1131000</v>
      </c>
    </row>
    <row r="45" spans="2:14" s="6" customFormat="1" ht="12.75">
      <c r="C45" s="29" t="s">
        <v>25</v>
      </c>
      <c r="D45" s="48" t="s">
        <v>9</v>
      </c>
      <c r="E45" s="48" t="s">
        <v>3</v>
      </c>
      <c r="F45" s="40">
        <f>18710120</f>
        <v>18710120</v>
      </c>
      <c r="G45" s="40"/>
      <c r="H45" s="40">
        <f t="shared" si="1"/>
        <v>18710120</v>
      </c>
      <c r="I45" s="40">
        <f>390000</f>
        <v>390000</v>
      </c>
      <c r="J45" s="40"/>
      <c r="K45" s="40">
        <f t="shared" si="26"/>
        <v>390000</v>
      </c>
      <c r="L45" s="40">
        <f>390000</f>
        <v>390000</v>
      </c>
      <c r="M45" s="40"/>
      <c r="N45" s="40">
        <f t="shared" si="27"/>
        <v>390000</v>
      </c>
    </row>
    <row r="46" spans="2:14" ht="12.75">
      <c r="C46" s="24" t="s">
        <v>35</v>
      </c>
      <c r="D46" s="45" t="s">
        <v>9</v>
      </c>
      <c r="E46" s="45" t="s">
        <v>10</v>
      </c>
      <c r="F46" s="40">
        <f>2778058.84+13237856.95</f>
        <v>16015915.789999999</v>
      </c>
      <c r="G46" s="40">
        <f>-17909.39+447418.82</f>
        <v>429509.43</v>
      </c>
      <c r="H46" s="40">
        <f t="shared" si="1"/>
        <v>16445425.219999999</v>
      </c>
      <c r="I46" s="40">
        <f>4036513.24+13188513.97</f>
        <v>17225027.210000001</v>
      </c>
      <c r="J46" s="40">
        <f>-20643.89+452229.1</f>
        <v>431585.20999999996</v>
      </c>
      <c r="K46" s="40">
        <f t="shared" si="26"/>
        <v>17656612.420000002</v>
      </c>
      <c r="L46" s="40">
        <f>4036513.54+13362255.03</f>
        <v>17398768.57</v>
      </c>
      <c r="M46" s="40">
        <f>-20644.19+456609.7</f>
        <v>435965.51</v>
      </c>
      <c r="N46" s="40">
        <f t="shared" si="27"/>
        <v>17834734.080000002</v>
      </c>
    </row>
    <row r="47" spans="2:14" ht="12.75">
      <c r="C47" s="24" t="s">
        <v>47</v>
      </c>
      <c r="D47" s="45" t="s">
        <v>9</v>
      </c>
      <c r="E47" s="45" t="s">
        <v>11</v>
      </c>
      <c r="F47" s="40">
        <f>3020058.84</f>
        <v>3020058.84</v>
      </c>
      <c r="G47" s="40">
        <f>27054.21</f>
        <v>27054.21</v>
      </c>
      <c r="H47" s="40">
        <f t="shared" si="1"/>
        <v>3047113.05</v>
      </c>
      <c r="I47" s="40">
        <f>3282990.56</f>
        <v>3282990.56</v>
      </c>
      <c r="J47" s="40">
        <f>-96403.14</f>
        <v>-96403.14</v>
      </c>
      <c r="K47" s="40">
        <f t="shared" si="26"/>
        <v>3186587.42</v>
      </c>
      <c r="L47" s="40">
        <f>3701744.35</f>
        <v>3701744.35</v>
      </c>
      <c r="M47" s="40">
        <f>-400695.46</f>
        <v>-400695.46</v>
      </c>
      <c r="N47" s="40">
        <f t="shared" si="27"/>
        <v>3301048.89</v>
      </c>
    </row>
    <row r="48" spans="2:14" ht="12.75">
      <c r="B48" s="8"/>
      <c r="C48" s="32" t="s">
        <v>45</v>
      </c>
      <c r="D48" s="37" t="s">
        <v>19</v>
      </c>
      <c r="E48" s="46"/>
      <c r="F48" s="38">
        <f>SUM(F49:F50)</f>
        <v>400000</v>
      </c>
      <c r="G48" s="38">
        <f t="shared" ref="G48:N48" si="28">SUM(G49:G50)</f>
        <v>0</v>
      </c>
      <c r="H48" s="38">
        <f t="shared" si="28"/>
        <v>400000</v>
      </c>
      <c r="I48" s="38">
        <f t="shared" si="28"/>
        <v>400000</v>
      </c>
      <c r="J48" s="38">
        <f t="shared" si="28"/>
        <v>0</v>
      </c>
      <c r="K48" s="38">
        <f t="shared" si="28"/>
        <v>400000</v>
      </c>
      <c r="L48" s="38">
        <f t="shared" si="28"/>
        <v>400000</v>
      </c>
      <c r="M48" s="38">
        <f t="shared" si="28"/>
        <v>0</v>
      </c>
      <c r="N48" s="38">
        <f t="shared" si="28"/>
        <v>400000</v>
      </c>
    </row>
    <row r="49" spans="2:14" ht="12.75">
      <c r="B49" s="8"/>
      <c r="C49" s="33" t="s">
        <v>58</v>
      </c>
      <c r="D49" s="39" t="s">
        <v>19</v>
      </c>
      <c r="E49" s="45" t="s">
        <v>1</v>
      </c>
      <c r="F49" s="40">
        <f>150000+200000</f>
        <v>350000</v>
      </c>
      <c r="G49" s="40"/>
      <c r="H49" s="40">
        <f t="shared" si="1"/>
        <v>350000</v>
      </c>
      <c r="I49" s="40">
        <f>150000+200000</f>
        <v>350000</v>
      </c>
      <c r="J49" s="40"/>
      <c r="K49" s="40">
        <f t="shared" ref="K49:K50" si="29">I49+J49</f>
        <v>350000</v>
      </c>
      <c r="L49" s="40">
        <f>150000+200000</f>
        <v>350000</v>
      </c>
      <c r="M49" s="40"/>
      <c r="N49" s="40">
        <f t="shared" ref="N49:N50" si="30">L49+M49</f>
        <v>350000</v>
      </c>
    </row>
    <row r="50" spans="2:14" ht="12.75">
      <c r="B50" s="8"/>
      <c r="C50" s="33" t="s">
        <v>42</v>
      </c>
      <c r="D50" s="39" t="s">
        <v>19</v>
      </c>
      <c r="E50" s="45" t="s">
        <v>2</v>
      </c>
      <c r="F50" s="40">
        <v>50000</v>
      </c>
      <c r="G50" s="40"/>
      <c r="H50" s="40">
        <f t="shared" si="1"/>
        <v>50000</v>
      </c>
      <c r="I50" s="40">
        <f>50000</f>
        <v>50000</v>
      </c>
      <c r="J50" s="40"/>
      <c r="K50" s="40">
        <f t="shared" si="29"/>
        <v>50000</v>
      </c>
      <c r="L50" s="40">
        <f>50000</f>
        <v>50000</v>
      </c>
      <c r="M50" s="40"/>
      <c r="N50" s="40">
        <f t="shared" si="30"/>
        <v>50000</v>
      </c>
    </row>
    <row r="51" spans="2:14" ht="51">
      <c r="B51" s="8"/>
      <c r="C51" s="34" t="s">
        <v>46</v>
      </c>
      <c r="D51" s="46" t="s">
        <v>28</v>
      </c>
      <c r="E51" s="46"/>
      <c r="F51" s="38">
        <f>SUM(F52:F53)</f>
        <v>32827420.82</v>
      </c>
      <c r="G51" s="38">
        <f t="shared" ref="G51:H51" si="31">SUM(G52:G53)</f>
        <v>0</v>
      </c>
      <c r="H51" s="38">
        <f t="shared" si="31"/>
        <v>32827420.82</v>
      </c>
      <c r="I51" s="38">
        <f>SUM(I52:I53)</f>
        <v>2837705.57</v>
      </c>
      <c r="J51" s="38">
        <f t="shared" ref="J51:K51" si="32">SUM(J52:J53)</f>
        <v>0</v>
      </c>
      <c r="K51" s="38">
        <f t="shared" si="32"/>
        <v>2837705.57</v>
      </c>
      <c r="L51" s="38">
        <f>SUM(L52:L53)</f>
        <v>2672438.0699999998</v>
      </c>
      <c r="M51" s="38">
        <f t="shared" ref="M51:N51" si="33">SUM(M52:M53)</f>
        <v>0</v>
      </c>
      <c r="N51" s="38">
        <f t="shared" si="33"/>
        <v>2672438.0699999998</v>
      </c>
    </row>
    <row r="52" spans="2:14" s="7" customFormat="1" ht="38.25">
      <c r="B52" s="9"/>
      <c r="C52" s="35" t="s">
        <v>38</v>
      </c>
      <c r="D52" s="49" t="s">
        <v>28</v>
      </c>
      <c r="E52" s="49" t="s">
        <v>1</v>
      </c>
      <c r="F52" s="50">
        <v>3490671.2</v>
      </c>
      <c r="G52" s="50"/>
      <c r="H52" s="40">
        <f t="shared" si="1"/>
        <v>3490671.2</v>
      </c>
      <c r="I52" s="50">
        <f>2837705.57</f>
        <v>2837705.57</v>
      </c>
      <c r="J52" s="50"/>
      <c r="K52" s="40">
        <f t="shared" ref="K52:K53" si="34">I52+J52</f>
        <v>2837705.57</v>
      </c>
      <c r="L52" s="40">
        <f>2672438.07</f>
        <v>2672438.0699999998</v>
      </c>
      <c r="M52" s="50"/>
      <c r="N52" s="40">
        <f t="shared" ref="N52:N53" si="35">L52+M52</f>
        <v>2672438.0699999998</v>
      </c>
    </row>
    <row r="53" spans="2:14" s="7" customFormat="1" ht="12.75">
      <c r="B53" s="9"/>
      <c r="C53" s="29" t="s">
        <v>49</v>
      </c>
      <c r="D53" s="45" t="s">
        <v>28</v>
      </c>
      <c r="E53" s="45" t="s">
        <v>3</v>
      </c>
      <c r="F53" s="40">
        <f>29336749.62</f>
        <v>29336749.620000001</v>
      </c>
      <c r="G53" s="40"/>
      <c r="H53" s="40">
        <f t="shared" si="1"/>
        <v>29336749.620000001</v>
      </c>
      <c r="I53" s="40">
        <v>0</v>
      </c>
      <c r="J53" s="40"/>
      <c r="K53" s="40">
        <f t="shared" si="34"/>
        <v>0</v>
      </c>
      <c r="L53" s="40">
        <v>0</v>
      </c>
      <c r="M53" s="40"/>
      <c r="N53" s="40">
        <f t="shared" si="35"/>
        <v>0</v>
      </c>
    </row>
    <row r="54" spans="2:14" s="7" customFormat="1" ht="12.75">
      <c r="B54" s="9"/>
      <c r="C54" s="29"/>
      <c r="D54" s="45"/>
      <c r="E54" s="45"/>
      <c r="F54" s="40"/>
      <c r="G54" s="40"/>
      <c r="H54" s="40"/>
      <c r="I54" s="40"/>
      <c r="J54" s="40"/>
      <c r="K54" s="40"/>
      <c r="L54" s="40"/>
      <c r="M54" s="40"/>
      <c r="N54" s="40"/>
    </row>
    <row r="55" spans="2:14" s="7" customFormat="1" ht="12.75">
      <c r="B55" s="9"/>
      <c r="C55" s="30" t="s">
        <v>72</v>
      </c>
      <c r="D55" s="46"/>
      <c r="E55" s="46"/>
      <c r="F55" s="38"/>
      <c r="G55" s="38"/>
      <c r="H55" s="38">
        <f t="shared" ref="H55" si="36">F55+G55</f>
        <v>0</v>
      </c>
      <c r="I55" s="38">
        <f>11811145.29+49689.39</f>
        <v>11860834.68</v>
      </c>
      <c r="J55" s="38"/>
      <c r="K55" s="38">
        <f t="shared" ref="K55" si="37">I55+J55</f>
        <v>11860834.68</v>
      </c>
      <c r="L55" s="38">
        <f>23928505.23+150099.1</f>
        <v>24078604.330000002</v>
      </c>
      <c r="M55" s="38"/>
      <c r="N55" s="38">
        <f t="shared" ref="N55" si="38">L55+M55</f>
        <v>24078604.330000002</v>
      </c>
    </row>
    <row r="56" spans="2:14" s="7" customFormat="1" ht="12.75">
      <c r="B56" s="9"/>
      <c r="C56" s="29"/>
      <c r="D56" s="45"/>
      <c r="E56" s="45"/>
      <c r="F56" s="40"/>
      <c r="G56" s="40"/>
      <c r="H56" s="40"/>
      <c r="I56" s="40"/>
      <c r="J56" s="40"/>
      <c r="K56" s="40"/>
      <c r="L56" s="40"/>
      <c r="M56" s="40"/>
      <c r="N56" s="40"/>
    </row>
    <row r="57" spans="2:14" s="7" customFormat="1" ht="12.75">
      <c r="B57" s="9"/>
      <c r="C57" s="36" t="s">
        <v>23</v>
      </c>
      <c r="D57" s="37"/>
      <c r="E57" s="39"/>
      <c r="F57" s="38">
        <f>F51+F48+F43+F41+F35+F29+F24+F22+F20+F11+F33+F55</f>
        <v>864508222.20000005</v>
      </c>
      <c r="G57" s="38">
        <f t="shared" ref="G57:H57" si="39">G51+G48+G43+G41+G35+G29+G24+G22+G20+G11+G33+G55</f>
        <v>-3950555.899999999</v>
      </c>
      <c r="H57" s="38">
        <f t="shared" si="39"/>
        <v>860557666.29999995</v>
      </c>
      <c r="I57" s="38">
        <f>I51+I48+I43+I41+I35+I29+I24+I22+I20+I11+I33+I55</f>
        <v>838485137.5999999</v>
      </c>
      <c r="J57" s="38">
        <f t="shared" ref="J57:N57" si="40">J51+J48+J43+J41+J35+J29+J24+J22+J20+J11+J33+J55</f>
        <v>-3685451.2099999972</v>
      </c>
      <c r="K57" s="38">
        <f t="shared" si="40"/>
        <v>834799686.38999999</v>
      </c>
      <c r="L57" s="38">
        <f t="shared" si="40"/>
        <v>855043809.88000023</v>
      </c>
      <c r="M57" s="38">
        <f t="shared" si="40"/>
        <v>-3651608.76</v>
      </c>
      <c r="N57" s="38">
        <f t="shared" si="40"/>
        <v>851392201.12000012</v>
      </c>
    </row>
    <row r="58" spans="2:14">
      <c r="D58" s="3"/>
      <c r="E58" s="5"/>
      <c r="F58" s="14"/>
      <c r="G58" s="14"/>
      <c r="H58" s="14"/>
      <c r="I58" s="14"/>
      <c r="J58" s="14"/>
      <c r="K58" s="14"/>
      <c r="L58" s="14"/>
    </row>
    <row r="59" spans="2:14" ht="12.75">
      <c r="D59" s="3"/>
      <c r="E59" s="3"/>
      <c r="F59" s="18"/>
      <c r="G59" s="18"/>
      <c r="H59" s="18"/>
      <c r="I59" s="18"/>
      <c r="J59" s="18"/>
      <c r="K59" s="18"/>
      <c r="L59" s="18"/>
      <c r="M59" s="19"/>
      <c r="N59" s="19"/>
    </row>
    <row r="60" spans="2:14">
      <c r="D60" s="3"/>
      <c r="E60" s="3"/>
      <c r="F60" s="14"/>
      <c r="G60" s="14"/>
      <c r="H60" s="14"/>
      <c r="I60" s="14"/>
      <c r="J60" s="14"/>
      <c r="K60" s="14"/>
      <c r="L60" s="14"/>
    </row>
    <row r="61" spans="2:14">
      <c r="E61" s="3"/>
      <c r="F61" s="14"/>
      <c r="G61" s="14"/>
      <c r="H61" s="14"/>
      <c r="I61" s="14"/>
      <c r="J61" s="14"/>
      <c r="K61" s="14"/>
      <c r="L61" s="14"/>
    </row>
    <row r="62" spans="2:14">
      <c r="F62" s="14"/>
      <c r="G62" s="14"/>
      <c r="H62" s="14"/>
      <c r="I62" s="14"/>
      <c r="J62" s="14"/>
      <c r="K62" s="14"/>
      <c r="L62" s="14"/>
    </row>
    <row r="63" spans="2:14">
      <c r="F63" s="14"/>
      <c r="G63" s="14"/>
      <c r="H63" s="14"/>
      <c r="I63" s="14"/>
      <c r="J63" s="14"/>
      <c r="K63" s="14"/>
      <c r="L63" s="14"/>
    </row>
    <row r="64" spans="2:14">
      <c r="F64" s="14"/>
      <c r="G64" s="14"/>
      <c r="H64" s="14"/>
      <c r="I64" s="14"/>
      <c r="J64" s="14"/>
      <c r="K64" s="14"/>
      <c r="L64" s="14"/>
    </row>
    <row r="65" spans="3:12">
      <c r="C65" s="1" t="s">
        <v>24</v>
      </c>
      <c r="F65" s="14"/>
      <c r="G65" s="14"/>
      <c r="H65" s="14"/>
      <c r="I65" s="14"/>
      <c r="J65" s="14"/>
      <c r="K65" s="14"/>
      <c r="L65" s="14"/>
    </row>
    <row r="66" spans="3:12">
      <c r="F66" s="14"/>
      <c r="G66" s="14"/>
      <c r="H66" s="14"/>
      <c r="I66" s="14"/>
      <c r="J66" s="14"/>
      <c r="K66" s="14"/>
      <c r="L66" s="14"/>
    </row>
    <row r="67" spans="3:12">
      <c r="F67" s="14"/>
      <c r="G67" s="14"/>
      <c r="H67" s="14"/>
      <c r="I67" s="14"/>
      <c r="J67" s="14"/>
      <c r="K67" s="14"/>
      <c r="L67" s="14"/>
    </row>
    <row r="68" spans="3:12">
      <c r="F68" s="14"/>
      <c r="G68" s="14"/>
      <c r="H68" s="14"/>
      <c r="I68" s="14"/>
      <c r="J68" s="14"/>
      <c r="K68" s="14"/>
      <c r="L68" s="14"/>
    </row>
    <row r="69" spans="3:12">
      <c r="F69" s="14"/>
      <c r="G69" s="14"/>
      <c r="H69" s="14"/>
      <c r="I69" s="14"/>
      <c r="J69" s="14"/>
      <c r="K69" s="14"/>
      <c r="L69" s="14"/>
    </row>
    <row r="70" spans="3:12">
      <c r="F70" s="14"/>
      <c r="G70" s="14"/>
      <c r="H70" s="14"/>
      <c r="I70" s="14"/>
      <c r="J70" s="14"/>
      <c r="K70" s="14"/>
      <c r="L70" s="14"/>
    </row>
    <row r="71" spans="3:12">
      <c r="F71" s="14"/>
      <c r="G71" s="14"/>
      <c r="H71" s="14"/>
      <c r="I71" s="14"/>
      <c r="J71" s="14"/>
      <c r="K71" s="14"/>
      <c r="L71" s="14"/>
    </row>
    <row r="72" spans="3:12">
      <c r="F72" s="14"/>
      <c r="G72" s="14"/>
      <c r="H72" s="14"/>
      <c r="I72" s="14"/>
      <c r="J72" s="14"/>
      <c r="K72" s="14"/>
      <c r="L72" s="14"/>
    </row>
    <row r="73" spans="3:12">
      <c r="F73" s="14"/>
      <c r="G73" s="14"/>
      <c r="H73" s="14"/>
      <c r="I73" s="14"/>
      <c r="J73" s="14"/>
      <c r="K73" s="14"/>
      <c r="L73" s="14"/>
    </row>
    <row r="74" spans="3:12">
      <c r="F74" s="14"/>
      <c r="G74" s="14"/>
      <c r="H74" s="14"/>
      <c r="I74" s="14"/>
      <c r="J74" s="14"/>
      <c r="K74" s="14"/>
      <c r="L74" s="14"/>
    </row>
    <row r="75" spans="3:12">
      <c r="F75" s="14"/>
      <c r="G75" s="14"/>
      <c r="H75" s="14"/>
      <c r="I75" s="14"/>
      <c r="J75" s="14"/>
      <c r="K75" s="14"/>
      <c r="L75" s="14"/>
    </row>
    <row r="76" spans="3:12">
      <c r="F76" s="14"/>
      <c r="G76" s="14"/>
      <c r="H76" s="14"/>
      <c r="I76" s="14"/>
      <c r="J76" s="14"/>
      <c r="K76" s="14"/>
      <c r="L76" s="14"/>
    </row>
    <row r="77" spans="3:12">
      <c r="F77" s="14"/>
      <c r="G77" s="14"/>
      <c r="H77" s="14"/>
      <c r="I77" s="14"/>
      <c r="J77" s="14"/>
      <c r="K77" s="14"/>
      <c r="L77" s="14"/>
    </row>
    <row r="78" spans="3:12">
      <c r="F78" s="14"/>
      <c r="G78" s="14"/>
      <c r="H78" s="14"/>
      <c r="I78" s="14"/>
      <c r="J78" s="14"/>
      <c r="K78" s="14"/>
      <c r="L78" s="14"/>
    </row>
    <row r="79" spans="3:12">
      <c r="F79" s="14"/>
      <c r="G79" s="14"/>
      <c r="H79" s="14"/>
      <c r="I79" s="14"/>
      <c r="J79" s="14"/>
      <c r="K79" s="14"/>
      <c r="L79" s="14"/>
    </row>
    <row r="80" spans="3:12">
      <c r="F80" s="14"/>
      <c r="G80" s="14"/>
      <c r="H80" s="14"/>
      <c r="I80" s="14"/>
      <c r="J80" s="14"/>
      <c r="K80" s="14"/>
      <c r="L80" s="14"/>
    </row>
    <row r="81" spans="6:12">
      <c r="F81" s="14"/>
      <c r="G81" s="14"/>
      <c r="H81" s="14"/>
      <c r="I81" s="14"/>
      <c r="J81" s="14"/>
      <c r="K81" s="14"/>
      <c r="L81" s="14"/>
    </row>
    <row r="82" spans="6:12">
      <c r="F82" s="14"/>
      <c r="G82" s="14"/>
      <c r="H82" s="14"/>
      <c r="I82" s="14"/>
      <c r="J82" s="14"/>
      <c r="K82" s="14"/>
      <c r="L82" s="14"/>
    </row>
    <row r="83" spans="6:12">
      <c r="F83" s="2"/>
      <c r="G83" s="2"/>
      <c r="H83" s="2"/>
      <c r="I83" s="2"/>
      <c r="J83" s="2"/>
      <c r="K83" s="2"/>
      <c r="L83" s="2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  <row r="104" spans="6:12">
      <c r="F104" s="2"/>
      <c r="G104" s="2"/>
      <c r="H104" s="2"/>
      <c r="I104" s="2"/>
      <c r="J104" s="2"/>
      <c r="K104" s="2"/>
      <c r="L104" s="2"/>
    </row>
    <row r="105" spans="6:12">
      <c r="F105" s="2"/>
      <c r="G105" s="2"/>
      <c r="H105" s="2"/>
      <c r="I105" s="2"/>
      <c r="J105" s="2"/>
      <c r="K105" s="2"/>
      <c r="L105" s="2"/>
    </row>
    <row r="106" spans="6:12">
      <c r="F106" s="2"/>
      <c r="G106" s="2"/>
      <c r="H106" s="2"/>
      <c r="I106" s="2"/>
      <c r="J106" s="2"/>
      <c r="K106" s="2"/>
      <c r="L106" s="2"/>
    </row>
  </sheetData>
  <mergeCells count="6">
    <mergeCell ref="C6:N6"/>
    <mergeCell ref="C7:F7"/>
    <mergeCell ref="C8:C9"/>
    <mergeCell ref="D8:D9"/>
    <mergeCell ref="E8:E9"/>
    <mergeCell ref="F8:N8"/>
  </mergeCells>
  <pageMargins left="0.78740157480314965" right="0" top="0.39370078740157483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2022-12-21T08:46:03Z</cp:lastPrinted>
  <dcterms:created xsi:type="dcterms:W3CDTF">2004-09-08T09:13:27Z</dcterms:created>
  <dcterms:modified xsi:type="dcterms:W3CDTF">2022-12-22T09:42:00Z</dcterms:modified>
</cp:coreProperties>
</file>