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activeTab="1"/>
  </bookViews>
  <sheets>
    <sheet name="к пояснительной" sheetId="103" r:id="rId1"/>
    <sheet name="к реш." sheetId="110" r:id="rId2"/>
  </sheets>
  <definedNames>
    <definedName name="_xlnm.Print_Area" localSheetId="0">'к пояснительной'!$A$1:$N$54</definedName>
    <definedName name="_xlnm.Print_Area" localSheetId="1">'к реш.'!$A$1:$N$58</definedName>
  </definedNames>
  <calcPr calcId="125725"/>
</workbook>
</file>

<file path=xl/calcChain.xml><?xml version="1.0" encoding="utf-8"?>
<calcChain xmlns="http://schemas.openxmlformats.org/spreadsheetml/2006/main">
  <c r="N57" i="110"/>
  <c r="K57"/>
  <c r="H57"/>
  <c r="N56"/>
  <c r="L56"/>
  <c r="K56"/>
  <c r="I56"/>
  <c r="H56"/>
  <c r="F56"/>
  <c r="N55"/>
  <c r="M55"/>
  <c r="M58" s="1"/>
  <c r="L55"/>
  <c r="L58" s="1"/>
  <c r="K55"/>
  <c r="J55"/>
  <c r="J58" s="1"/>
  <c r="I55"/>
  <c r="I58" s="1"/>
  <c r="H55"/>
  <c r="G55"/>
  <c r="G58" s="1"/>
  <c r="F55"/>
  <c r="F58" s="1"/>
  <c r="L54"/>
  <c r="N54" s="1"/>
  <c r="I54"/>
  <c r="K54" s="1"/>
  <c r="F54"/>
  <c r="H54" s="1"/>
  <c r="L53"/>
  <c r="N53" s="1"/>
  <c r="N52" s="1"/>
  <c r="I53"/>
  <c r="K53" s="1"/>
  <c r="F53"/>
  <c r="H53" s="1"/>
  <c r="H52" s="1"/>
  <c r="M52"/>
  <c r="L52"/>
  <c r="J52"/>
  <c r="I52"/>
  <c r="G52"/>
  <c r="F52"/>
  <c r="N51"/>
  <c r="L51"/>
  <c r="K51"/>
  <c r="I51"/>
  <c r="G51"/>
  <c r="F51"/>
  <c r="H51" s="1"/>
  <c r="N50"/>
  <c r="K50"/>
  <c r="G50"/>
  <c r="H50" s="1"/>
  <c r="N49"/>
  <c r="K49"/>
  <c r="G49"/>
  <c r="H49" s="1"/>
  <c r="H47" s="1"/>
  <c r="L48"/>
  <c r="N48" s="1"/>
  <c r="N47" s="1"/>
  <c r="I48"/>
  <c r="K48" s="1"/>
  <c r="K47" s="1"/>
  <c r="H48"/>
  <c r="G48"/>
  <c r="M47"/>
  <c r="L47"/>
  <c r="J47"/>
  <c r="I47"/>
  <c r="G47"/>
  <c r="F47"/>
  <c r="L46"/>
  <c r="N46" s="1"/>
  <c r="N45" s="1"/>
  <c r="I46"/>
  <c r="K46" s="1"/>
  <c r="K45" s="1"/>
  <c r="G46"/>
  <c r="H46" s="1"/>
  <c r="H45" s="1"/>
  <c r="M45"/>
  <c r="L45"/>
  <c r="J45"/>
  <c r="I45"/>
  <c r="G45"/>
  <c r="F45"/>
  <c r="N44"/>
  <c r="K44"/>
  <c r="H44"/>
  <c r="G44"/>
  <c r="N43"/>
  <c r="L43"/>
  <c r="K43"/>
  <c r="I43"/>
  <c r="H43"/>
  <c r="G43"/>
  <c r="N42"/>
  <c r="L42"/>
  <c r="K42"/>
  <c r="I42"/>
  <c r="H42"/>
  <c r="G42"/>
  <c r="N41"/>
  <c r="K41"/>
  <c r="H41"/>
  <c r="G41"/>
  <c r="N40"/>
  <c r="K40"/>
  <c r="H40"/>
  <c r="G40"/>
  <c r="N39"/>
  <c r="M39"/>
  <c r="L39"/>
  <c r="K39"/>
  <c r="J39"/>
  <c r="I39"/>
  <c r="H39"/>
  <c r="G39"/>
  <c r="F39"/>
  <c r="N38"/>
  <c r="K38"/>
  <c r="G38"/>
  <c r="H38" s="1"/>
  <c r="H37" s="1"/>
  <c r="N37"/>
  <c r="M37"/>
  <c r="L37"/>
  <c r="K37"/>
  <c r="J37"/>
  <c r="I37"/>
  <c r="G37"/>
  <c r="F37"/>
  <c r="N36"/>
  <c r="K36"/>
  <c r="H36"/>
  <c r="L35"/>
  <c r="N35" s="1"/>
  <c r="N33" s="1"/>
  <c r="K35"/>
  <c r="H35"/>
  <c r="G35"/>
  <c r="N34"/>
  <c r="K34"/>
  <c r="H34"/>
  <c r="G34"/>
  <c r="M33"/>
  <c r="L33"/>
  <c r="K33"/>
  <c r="J33"/>
  <c r="I33"/>
  <c r="H33"/>
  <c r="G33"/>
  <c r="F33"/>
  <c r="L32"/>
  <c r="N32" s="1"/>
  <c r="I32"/>
  <c r="K32" s="1"/>
  <c r="K28" s="1"/>
  <c r="G32"/>
  <c r="H32" s="1"/>
  <c r="L31"/>
  <c r="N31" s="1"/>
  <c r="K31"/>
  <c r="H31"/>
  <c r="G31"/>
  <c r="N30"/>
  <c r="N28" s="1"/>
  <c r="L30"/>
  <c r="K30"/>
  <c r="I30"/>
  <c r="H30"/>
  <c r="N29"/>
  <c r="K29"/>
  <c r="I29"/>
  <c r="H29"/>
  <c r="H28" s="1"/>
  <c r="M28"/>
  <c r="L28"/>
  <c r="J28"/>
  <c r="I28"/>
  <c r="G28"/>
  <c r="F28"/>
  <c r="N27"/>
  <c r="N26" s="1"/>
  <c r="I27"/>
  <c r="K27" s="1"/>
  <c r="K26" s="1"/>
  <c r="G27"/>
  <c r="H27" s="1"/>
  <c r="H26" s="1"/>
  <c r="M26"/>
  <c r="L26"/>
  <c r="J26"/>
  <c r="I26"/>
  <c r="G26"/>
  <c r="F26"/>
  <c r="N25"/>
  <c r="N24" s="1"/>
  <c r="K25"/>
  <c r="H25"/>
  <c r="M24"/>
  <c r="L24"/>
  <c r="K24"/>
  <c r="J24"/>
  <c r="I24"/>
  <c r="H24"/>
  <c r="G24"/>
  <c r="F24"/>
  <c r="N23"/>
  <c r="K23"/>
  <c r="H23"/>
  <c r="G23"/>
  <c r="N22"/>
  <c r="K22"/>
  <c r="H22"/>
  <c r="G22"/>
  <c r="N21"/>
  <c r="K21"/>
  <c r="H21"/>
  <c r="L20"/>
  <c r="N20" s="1"/>
  <c r="I20"/>
  <c r="K20" s="1"/>
  <c r="H20"/>
  <c r="N19"/>
  <c r="K19"/>
  <c r="H19"/>
  <c r="L18"/>
  <c r="N18" s="1"/>
  <c r="I18"/>
  <c r="K18" s="1"/>
  <c r="G18"/>
  <c r="H18" s="1"/>
  <c r="H15" s="1"/>
  <c r="L17"/>
  <c r="N17" s="1"/>
  <c r="K17"/>
  <c r="I17"/>
  <c r="H17"/>
  <c r="F17"/>
  <c r="N16"/>
  <c r="L16"/>
  <c r="K16"/>
  <c r="K15" s="1"/>
  <c r="I16"/>
  <c r="H16"/>
  <c r="G16"/>
  <c r="M15"/>
  <c r="L15"/>
  <c r="J15"/>
  <c r="I15"/>
  <c r="G15"/>
  <c r="F15"/>
  <c r="G19" i="103"/>
  <c r="G18"/>
  <c r="G46"/>
  <c r="G40"/>
  <c r="G39"/>
  <c r="G38"/>
  <c r="G37"/>
  <c r="G36"/>
  <c r="G31"/>
  <c r="G30"/>
  <c r="G28"/>
  <c r="G47"/>
  <c r="G45"/>
  <c r="G44"/>
  <c r="G42"/>
  <c r="G34"/>
  <c r="G27"/>
  <c r="G23"/>
  <c r="G14"/>
  <c r="G12"/>
  <c r="H58" i="110" l="1"/>
  <c r="N15"/>
  <c r="N58" s="1"/>
  <c r="K52"/>
  <c r="K58"/>
  <c r="G29" i="103"/>
  <c r="H32"/>
  <c r="M29"/>
  <c r="J29"/>
  <c r="I29"/>
  <c r="F29"/>
  <c r="N32"/>
  <c r="K32"/>
  <c r="N53" l="1"/>
  <c r="K53"/>
  <c r="H53"/>
  <c r="L52"/>
  <c r="N52" s="1"/>
  <c r="N51" s="1"/>
  <c r="I52"/>
  <c r="K52" s="1"/>
  <c r="F52"/>
  <c r="H52" s="1"/>
  <c r="M51"/>
  <c r="L51"/>
  <c r="J51"/>
  <c r="I51"/>
  <c r="G51"/>
  <c r="F51"/>
  <c r="L50"/>
  <c r="N50" s="1"/>
  <c r="I50"/>
  <c r="K50" s="1"/>
  <c r="F50"/>
  <c r="H50" s="1"/>
  <c r="L49"/>
  <c r="N49" s="1"/>
  <c r="I49"/>
  <c r="K49" s="1"/>
  <c r="F49"/>
  <c r="H49" s="1"/>
  <c r="H48" s="1"/>
  <c r="M48"/>
  <c r="L48"/>
  <c r="J48"/>
  <c r="I48"/>
  <c r="G48"/>
  <c r="L47"/>
  <c r="N47" s="1"/>
  <c r="I47"/>
  <c r="K47" s="1"/>
  <c r="F47"/>
  <c r="H47" s="1"/>
  <c r="N46"/>
  <c r="K46"/>
  <c r="H46"/>
  <c r="N45"/>
  <c r="K45"/>
  <c r="H45"/>
  <c r="L44"/>
  <c r="N44" s="1"/>
  <c r="I44"/>
  <c r="K44" s="1"/>
  <c r="M43"/>
  <c r="J43"/>
  <c r="G43"/>
  <c r="L42"/>
  <c r="N42" s="1"/>
  <c r="N41" s="1"/>
  <c r="I42"/>
  <c r="K42" s="1"/>
  <c r="K41" s="1"/>
  <c r="H42"/>
  <c r="H41" s="1"/>
  <c r="M41"/>
  <c r="L41"/>
  <c r="J41"/>
  <c r="G41"/>
  <c r="F41"/>
  <c r="N40"/>
  <c r="K40"/>
  <c r="H40"/>
  <c r="L39"/>
  <c r="N39" s="1"/>
  <c r="I39"/>
  <c r="K39" s="1"/>
  <c r="H39"/>
  <c r="L38"/>
  <c r="N38" s="1"/>
  <c r="I38"/>
  <c r="K38" s="1"/>
  <c r="H38"/>
  <c r="N37"/>
  <c r="K37"/>
  <c r="G35"/>
  <c r="N36"/>
  <c r="K36"/>
  <c r="H36"/>
  <c r="M35"/>
  <c r="J35"/>
  <c r="F35"/>
  <c r="N34"/>
  <c r="K34"/>
  <c r="K33" s="1"/>
  <c r="H34"/>
  <c r="H33" s="1"/>
  <c r="N33"/>
  <c r="M33"/>
  <c r="L33"/>
  <c r="J33"/>
  <c r="I33"/>
  <c r="G33"/>
  <c r="L31"/>
  <c r="K31"/>
  <c r="H31"/>
  <c r="N30"/>
  <c r="K30"/>
  <c r="H30"/>
  <c r="L28"/>
  <c r="N28" s="1"/>
  <c r="I28"/>
  <c r="K28" s="1"/>
  <c r="H28"/>
  <c r="L27"/>
  <c r="N27" s="1"/>
  <c r="K27"/>
  <c r="H27"/>
  <c r="L26"/>
  <c r="N26" s="1"/>
  <c r="I26"/>
  <c r="K26" s="1"/>
  <c r="H26"/>
  <c r="N25"/>
  <c r="I25"/>
  <c r="K25" s="1"/>
  <c r="H25"/>
  <c r="M24"/>
  <c r="L24"/>
  <c r="J24"/>
  <c r="I24"/>
  <c r="G24"/>
  <c r="F24"/>
  <c r="N23"/>
  <c r="K23"/>
  <c r="K22" s="1"/>
  <c r="I23"/>
  <c r="H23"/>
  <c r="H22" s="1"/>
  <c r="N22"/>
  <c r="M22"/>
  <c r="L22"/>
  <c r="J22"/>
  <c r="I22"/>
  <c r="G22"/>
  <c r="F22"/>
  <c r="N21"/>
  <c r="K21"/>
  <c r="K20" s="1"/>
  <c r="H21"/>
  <c r="N20"/>
  <c r="M20"/>
  <c r="L20"/>
  <c r="J20"/>
  <c r="I20"/>
  <c r="H20"/>
  <c r="G20"/>
  <c r="F20"/>
  <c r="N19"/>
  <c r="K19"/>
  <c r="H19"/>
  <c r="N18"/>
  <c r="K18"/>
  <c r="H18"/>
  <c r="N17"/>
  <c r="K17"/>
  <c r="H17"/>
  <c r="L16"/>
  <c r="N16" s="1"/>
  <c r="I16"/>
  <c r="K16" s="1"/>
  <c r="H16"/>
  <c r="N15"/>
  <c r="K15"/>
  <c r="H15"/>
  <c r="L14"/>
  <c r="N14" s="1"/>
  <c r="I14"/>
  <c r="K14" s="1"/>
  <c r="H14"/>
  <c r="L13"/>
  <c r="N13" s="1"/>
  <c r="I13"/>
  <c r="K13" s="1"/>
  <c r="F13"/>
  <c r="H13" s="1"/>
  <c r="L12"/>
  <c r="N12" s="1"/>
  <c r="I12"/>
  <c r="K12" s="1"/>
  <c r="H12"/>
  <c r="M11"/>
  <c r="L11"/>
  <c r="J11"/>
  <c r="I11"/>
  <c r="G11"/>
  <c r="F11"/>
  <c r="N31" l="1"/>
  <c r="L29"/>
  <c r="H44"/>
  <c r="F43"/>
  <c r="I35"/>
  <c r="L35"/>
  <c r="H29"/>
  <c r="H51"/>
  <c r="N29"/>
  <c r="K43"/>
  <c r="N35"/>
  <c r="K35"/>
  <c r="H11"/>
  <c r="F33"/>
  <c r="H37"/>
  <c r="H35" s="1"/>
  <c r="I41"/>
  <c r="I43"/>
  <c r="I54" s="1"/>
  <c r="L43"/>
  <c r="F48"/>
  <c r="N48"/>
  <c r="G54"/>
  <c r="J54"/>
  <c r="M54"/>
  <c r="K51"/>
  <c r="N11"/>
  <c r="K24"/>
  <c r="L54"/>
  <c r="K11"/>
  <c r="H24"/>
  <c r="N24"/>
  <c r="K29"/>
  <c r="H43"/>
  <c r="N43"/>
  <c r="N54" s="1"/>
  <c r="K48"/>
  <c r="F54" l="1"/>
  <c r="K54"/>
  <c r="H54"/>
</calcChain>
</file>

<file path=xl/sharedStrings.xml><?xml version="1.0" encoding="utf-8"?>
<sst xmlns="http://schemas.openxmlformats.org/spreadsheetml/2006/main" count="279" uniqueCount="76">
  <si>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</si>
  <si>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</si>
  <si>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</si>
  <si>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</si>
  <si>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</si>
  <si>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</si>
  <si>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</si>
  <si>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</si>
  <si>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</si>
  <si>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</si>
  <si>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</si>
  <si>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</si>
  <si>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</si>
  <si>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</si>
  <si>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</si>
  <si>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</si>
  <si>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</si>
  <si>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</si>
  <si>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</si>
  <si>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</si>
  <si>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</si>
  <si>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</si>
  <si>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</si>
  <si>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</si>
  <si>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</si>
  <si>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</si>
  <si>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</si>
  <si>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</si>
  <si>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</si>
  <si>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</si>
  <si>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</si>
  <si>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</si>
  <si>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</si>
  <si>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</si>
  <si>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</si>
  <si>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</si>
  <si>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</si>
  <si>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</si>
  <si>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</si>
  <si>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</si>
  <si>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</si>
  <si>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</si>
  <si>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</si>
  <si>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</si>
  <si>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</si>
  <si>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</si>
  <si>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</si>
  <si>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</si>
  <si>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</si>
  <si>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Прочие межбюджетные трансфкрты общего характера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</si>
  <si>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</si>
  <si>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</si>
  <si>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</si>
  <si>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</si>
  <si>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</si>
  <si>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</si>
  <si>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</si>
  <si>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</si>
  <si>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</si>
  <si>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</si>
  <si>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</si>
  <si>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</si>
  <si>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Сумма , рублей</t>
  </si>
  <si>
    <t>2022 год</t>
  </si>
  <si>
    <t>2023 год</t>
  </si>
  <si>
    <t>2024 год</t>
  </si>
  <si>
    <t>Распределение бюджетных ассигнований на 2022 год и на плановый период 2023 и 2024 годов по разделам и подразделам классификации расходов бюджетов</t>
  </si>
  <si>
    <t>"Приложение № 4</t>
  </si>
  <si>
    <t>от 23.12.2021 года № 55"</t>
  </si>
  <si>
    <t>Приложение № 3</t>
  </si>
  <si>
    <t>к пояснительной записке</t>
  </si>
  <si>
    <t>сумма, рублей</t>
  </si>
  <si>
    <t>изменения (+,-), рублей</t>
  </si>
  <si>
    <t>Благоустройство</t>
  </si>
  <si>
    <t>сумма с изменениями, рублей</t>
  </si>
  <si>
    <t xml:space="preserve">                        от 08.12.2022  № 56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</si>
</sst>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8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5" fillId="0" borderId="0" xfId="0" applyFont="1"/>
    <xf numFmtId="2" fontId="2" fillId="0" borderId="0" xfId="0" applyNumberFormat="1" applyFont="1" applyFill="1" applyAlignment="1">
      <alignment horizontal="right"/>
    </xf>
    <xf numFmtId="0" fontId="1" fillId="0" borderId="0" xfId="2" applyFont="1" applyFill="1"/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distributed"/>
    </xf>
    <xf numFmtId="0" fontId="10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49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3"/>
  <sheetViews>
    <sheetView topLeftCell="B2" workbookViewId="0">
      <selection activeCell="G20" sqref="G20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.5703125" style="1" customWidth="1"/>
    <col min="4" max="4" width="8.85546875" style="4" customWidth="1"/>
    <col min="5" max="5" width="8.140625" style="4" customWidth="1"/>
    <col min="6" max="6" width="16.140625" style="1" customWidth="1"/>
    <col min="7" max="7" width="14.7109375" style="1" customWidth="1"/>
    <col min="8" max="8" width="16.140625" style="1" bestFit="1" customWidth="1"/>
    <col min="9" max="9" width="17.42578125" style="1" bestFit="1" customWidth="1"/>
    <col min="10" max="10" width="16" style="1" customWidth="1"/>
    <col min="11" max="12" width="17.42578125" style="1" bestFit="1" customWidth="1"/>
    <col min="13" max="13" width="13.85546875" style="1" customWidth="1"/>
    <col min="14" max="14" width="16.7109375" style="1" customWidth="1"/>
    <col min="15" max="16384" width="9.140625" style="1"/>
  </cols>
  <sheetData>
    <row r="1" spans="3:14" ht="15" hidden="1" customHeight="1"/>
    <row r="2" spans="3:14" ht="15">
      <c r="F2" s="12"/>
      <c r="G2" s="12"/>
      <c r="H2" s="12"/>
      <c r="I2" s="12"/>
      <c r="J2" s="12"/>
      <c r="K2" s="12"/>
      <c r="N2" s="55" t="s">
        <v>69</v>
      </c>
    </row>
    <row r="3" spans="3:14" ht="15">
      <c r="F3" s="12"/>
      <c r="G3" s="12"/>
      <c r="H3" s="12"/>
      <c r="I3" s="12"/>
      <c r="J3" s="12"/>
      <c r="K3" s="12"/>
      <c r="N3" s="56" t="s">
        <v>70</v>
      </c>
    </row>
    <row r="4" spans="3:14" ht="15">
      <c r="F4" s="12"/>
      <c r="G4" s="12"/>
      <c r="H4" s="12"/>
      <c r="I4" s="12"/>
      <c r="J4" s="12"/>
      <c r="K4" s="12"/>
      <c r="N4" s="55" t="s">
        <v>75</v>
      </c>
    </row>
    <row r="5" spans="3:14" ht="3" customHeight="1">
      <c r="F5" s="12"/>
      <c r="G5" s="12"/>
      <c r="H5" s="12"/>
      <c r="I5" s="12"/>
      <c r="J5" s="12"/>
      <c r="K5" s="12"/>
      <c r="L5" s="12"/>
    </row>
    <row r="6" spans="3:14" ht="15.75">
      <c r="C6" s="58" t="s">
        <v>66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3:14" ht="6.75" customHeight="1">
      <c r="C7" s="59"/>
      <c r="D7" s="59"/>
      <c r="E7" s="59"/>
      <c r="F7" s="59"/>
      <c r="G7" s="14"/>
      <c r="H7" s="14"/>
    </row>
    <row r="8" spans="3:14" s="16" customFormat="1" ht="14.25" customHeight="1">
      <c r="C8" s="60" t="s">
        <v>0</v>
      </c>
      <c r="D8" s="62" t="s">
        <v>51</v>
      </c>
      <c r="E8" s="62" t="s">
        <v>50</v>
      </c>
      <c r="F8" s="64" t="s">
        <v>63</v>
      </c>
      <c r="G8" s="65"/>
      <c r="H8" s="66"/>
      <c r="I8" s="64" t="s">
        <v>64</v>
      </c>
      <c r="J8" s="65"/>
      <c r="K8" s="66"/>
      <c r="L8" s="65" t="s">
        <v>65</v>
      </c>
      <c r="M8" s="65"/>
      <c r="N8" s="66"/>
    </row>
    <row r="9" spans="3:14" s="16" customFormat="1" ht="38.25">
      <c r="C9" s="61"/>
      <c r="D9" s="63"/>
      <c r="E9" s="63"/>
      <c r="F9" s="50" t="s">
        <v>71</v>
      </c>
      <c r="G9" s="50" t="s">
        <v>72</v>
      </c>
      <c r="H9" s="50" t="s">
        <v>74</v>
      </c>
      <c r="I9" s="51" t="s">
        <v>71</v>
      </c>
      <c r="J9" s="51" t="s">
        <v>72</v>
      </c>
      <c r="K9" s="50" t="s">
        <v>74</v>
      </c>
      <c r="L9" s="51" t="s">
        <v>71</v>
      </c>
      <c r="M9" s="51" t="s">
        <v>72</v>
      </c>
      <c r="N9" s="50" t="s">
        <v>74</v>
      </c>
    </row>
    <row r="10" spans="3:14" s="11" customFormat="1" ht="10.9" customHeight="1">
      <c r="C10" s="10">
        <v>1</v>
      </c>
      <c r="D10" s="10">
        <v>2</v>
      </c>
      <c r="E10" s="10">
        <v>3</v>
      </c>
      <c r="F10" s="52">
        <v>4</v>
      </c>
      <c r="G10" s="52">
        <v>5</v>
      </c>
      <c r="H10" s="52">
        <v>6</v>
      </c>
      <c r="I10" s="53">
        <v>7</v>
      </c>
      <c r="J10" s="53">
        <v>8</v>
      </c>
      <c r="K10" s="53">
        <v>9</v>
      </c>
      <c r="L10" s="52">
        <v>10</v>
      </c>
      <c r="M10" s="54">
        <v>11</v>
      </c>
      <c r="N10" s="54">
        <v>12</v>
      </c>
    </row>
    <row r="11" spans="3:14" ht="19.5" customHeight="1">
      <c r="C11" s="19" t="s">
        <v>30</v>
      </c>
      <c r="D11" s="36" t="s">
        <v>1</v>
      </c>
      <c r="E11" s="36"/>
      <c r="F11" s="37">
        <f>SUM(F12:F19)</f>
        <v>63298252.219999999</v>
      </c>
      <c r="G11" s="37">
        <f t="shared" ref="G11:N11" si="0">SUM(G12:G19)</f>
        <v>739907.37</v>
      </c>
      <c r="H11" s="37">
        <f t="shared" si="0"/>
        <v>64038159.589999996</v>
      </c>
      <c r="I11" s="37">
        <f t="shared" si="0"/>
        <v>81157241.480000004</v>
      </c>
      <c r="J11" s="37">
        <f t="shared" si="0"/>
        <v>0</v>
      </c>
      <c r="K11" s="37">
        <f t="shared" si="0"/>
        <v>81157241.480000004</v>
      </c>
      <c r="L11" s="37">
        <f t="shared" si="0"/>
        <v>88240478.349999994</v>
      </c>
      <c r="M11" s="37">
        <f t="shared" si="0"/>
        <v>0</v>
      </c>
      <c r="N11" s="37">
        <f t="shared" si="0"/>
        <v>88240478.349999994</v>
      </c>
    </row>
    <row r="12" spans="3:14" ht="25.5">
      <c r="C12" s="20" t="s">
        <v>29</v>
      </c>
      <c r="D12" s="38" t="s">
        <v>1</v>
      </c>
      <c r="E12" s="38" t="s">
        <v>2</v>
      </c>
      <c r="F12" s="39">
        <v>1773740</v>
      </c>
      <c r="G12" s="39">
        <f>-180000</f>
        <v>-180000</v>
      </c>
      <c r="H12" s="39">
        <f>F12+G12</f>
        <v>1593740</v>
      </c>
      <c r="I12" s="39">
        <f>2130403</f>
        <v>2130403</v>
      </c>
      <c r="J12" s="39"/>
      <c r="K12" s="39">
        <f>I12+J12</f>
        <v>2130403</v>
      </c>
      <c r="L12" s="39">
        <f>2213273</f>
        <v>2213273</v>
      </c>
      <c r="M12" s="39"/>
      <c r="N12" s="39">
        <f>L12+M12</f>
        <v>2213273</v>
      </c>
    </row>
    <row r="13" spans="3:14" ht="38.25">
      <c r="C13" s="20" t="s">
        <v>26</v>
      </c>
      <c r="D13" s="38" t="s">
        <v>1</v>
      </c>
      <c r="E13" s="38" t="s">
        <v>3</v>
      </c>
      <c r="F13" s="39">
        <f>1345500</f>
        <v>1345500</v>
      </c>
      <c r="G13" s="39"/>
      <c r="H13" s="39">
        <f t="shared" ref="H13:H53" si="1">F13+G13</f>
        <v>1345500</v>
      </c>
      <c r="I13" s="39">
        <f>1386500</f>
        <v>1386500</v>
      </c>
      <c r="J13" s="39"/>
      <c r="K13" s="39">
        <f t="shared" ref="K13:K19" si="2">I13+J13</f>
        <v>1386500</v>
      </c>
      <c r="L13" s="39">
        <f>1429150</f>
        <v>1429150</v>
      </c>
      <c r="M13" s="39"/>
      <c r="N13" s="39">
        <f t="shared" ref="N13:N19" si="3">L13+M13</f>
        <v>1429150</v>
      </c>
    </row>
    <row r="14" spans="3:14" ht="38.25">
      <c r="C14" s="20" t="s">
        <v>37</v>
      </c>
      <c r="D14" s="38" t="s">
        <v>1</v>
      </c>
      <c r="E14" s="38" t="s">
        <v>10</v>
      </c>
      <c r="F14" s="39">
        <v>28903339.52</v>
      </c>
      <c r="G14" s="39">
        <f>214210</f>
        <v>214210</v>
      </c>
      <c r="H14" s="39">
        <f t="shared" si="1"/>
        <v>29117549.52</v>
      </c>
      <c r="I14" s="39">
        <f>29282321.82+612500</f>
        <v>29894821.82</v>
      </c>
      <c r="J14" s="39"/>
      <c r="K14" s="39">
        <f t="shared" si="2"/>
        <v>29894821.82</v>
      </c>
      <c r="L14" s="39">
        <f>30375124.93+612500</f>
        <v>30987624.93</v>
      </c>
      <c r="M14" s="39"/>
      <c r="N14" s="39">
        <f t="shared" si="3"/>
        <v>30987624.93</v>
      </c>
    </row>
    <row r="15" spans="3:14" ht="12.75">
      <c r="C15" s="20" t="s">
        <v>56</v>
      </c>
      <c r="D15" s="38" t="s">
        <v>1</v>
      </c>
      <c r="E15" s="38" t="s">
        <v>4</v>
      </c>
      <c r="F15" s="39">
        <v>73676.38</v>
      </c>
      <c r="G15" s="39"/>
      <c r="H15" s="39">
        <f t="shared" si="1"/>
        <v>73676.38</v>
      </c>
      <c r="I15" s="39">
        <v>2902.02</v>
      </c>
      <c r="J15" s="39"/>
      <c r="K15" s="39">
        <f t="shared" si="2"/>
        <v>2902.02</v>
      </c>
      <c r="L15" s="39">
        <v>2586.8000000000002</v>
      </c>
      <c r="M15" s="39"/>
      <c r="N15" s="39">
        <f t="shared" si="3"/>
        <v>2586.8000000000002</v>
      </c>
    </row>
    <row r="16" spans="3:14" ht="16.5" customHeight="1">
      <c r="C16" s="20" t="s">
        <v>27</v>
      </c>
      <c r="D16" s="38" t="s">
        <v>1</v>
      </c>
      <c r="E16" s="38" t="s">
        <v>11</v>
      </c>
      <c r="F16" s="39">
        <v>9991934.0800000001</v>
      </c>
      <c r="G16" s="39"/>
      <c r="H16" s="39">
        <f t="shared" si="1"/>
        <v>9991934.0800000001</v>
      </c>
      <c r="I16" s="39">
        <f>1904270+7997790</f>
        <v>9902060</v>
      </c>
      <c r="J16" s="39"/>
      <c r="K16" s="39">
        <f t="shared" si="2"/>
        <v>9902060</v>
      </c>
      <c r="L16" s="39">
        <f>1978261+8287725.36</f>
        <v>10265986.359999999</v>
      </c>
      <c r="M16" s="39"/>
      <c r="N16" s="39">
        <f t="shared" si="3"/>
        <v>10265986.359999999</v>
      </c>
    </row>
    <row r="17" spans="3:14" ht="12.75" hidden="1">
      <c r="C17" s="20" t="s">
        <v>57</v>
      </c>
      <c r="D17" s="38" t="s">
        <v>1</v>
      </c>
      <c r="E17" s="38" t="s">
        <v>5</v>
      </c>
      <c r="F17" s="39"/>
      <c r="G17" s="39"/>
      <c r="H17" s="39">
        <f t="shared" si="1"/>
        <v>0</v>
      </c>
      <c r="I17" s="39"/>
      <c r="J17" s="39"/>
      <c r="K17" s="39">
        <f t="shared" si="2"/>
        <v>0</v>
      </c>
      <c r="L17" s="39"/>
      <c r="M17" s="39"/>
      <c r="N17" s="39">
        <f t="shared" si="3"/>
        <v>0</v>
      </c>
    </row>
    <row r="18" spans="3:14" ht="12.75">
      <c r="C18" s="20" t="s">
        <v>7</v>
      </c>
      <c r="D18" s="38" t="s">
        <v>1</v>
      </c>
      <c r="E18" s="38" t="s">
        <v>19</v>
      </c>
      <c r="F18" s="39">
        <v>50000</v>
      </c>
      <c r="G18" s="39">
        <f>-4600</f>
        <v>-4600</v>
      </c>
      <c r="H18" s="39">
        <f t="shared" si="1"/>
        <v>45400</v>
      </c>
      <c r="I18" s="39">
        <v>0</v>
      </c>
      <c r="J18" s="39"/>
      <c r="K18" s="39">
        <f t="shared" si="2"/>
        <v>0</v>
      </c>
      <c r="L18" s="39">
        <v>0</v>
      </c>
      <c r="M18" s="39"/>
      <c r="N18" s="39">
        <f t="shared" si="3"/>
        <v>0</v>
      </c>
    </row>
    <row r="19" spans="3:14" ht="12.75">
      <c r="C19" s="21" t="s">
        <v>21</v>
      </c>
      <c r="D19" s="38" t="s">
        <v>1</v>
      </c>
      <c r="E19" s="38" t="s">
        <v>43</v>
      </c>
      <c r="F19" s="39">
        <v>21160062.239999998</v>
      </c>
      <c r="G19" s="39">
        <f>500354.88+142247.86+67694.63</f>
        <v>710297.37</v>
      </c>
      <c r="H19" s="39">
        <f t="shared" si="1"/>
        <v>21870359.609999999</v>
      </c>
      <c r="I19" s="39">
        <v>37840554.640000001</v>
      </c>
      <c r="J19" s="39"/>
      <c r="K19" s="39">
        <f t="shared" si="2"/>
        <v>37840554.640000001</v>
      </c>
      <c r="L19" s="39">
        <v>43341857.259999998</v>
      </c>
      <c r="M19" s="39"/>
      <c r="N19" s="39">
        <f t="shared" si="3"/>
        <v>43341857.259999998</v>
      </c>
    </row>
    <row r="20" spans="3:14" ht="15" customHeight="1">
      <c r="C20" s="22" t="s">
        <v>44</v>
      </c>
      <c r="D20" s="40" t="s">
        <v>2</v>
      </c>
      <c r="E20" s="40"/>
      <c r="F20" s="37">
        <f>F21</f>
        <v>789584.76</v>
      </c>
      <c r="G20" s="37">
        <f t="shared" ref="G20:N20" si="4">G21</f>
        <v>0</v>
      </c>
      <c r="H20" s="37">
        <f t="shared" si="4"/>
        <v>789584.76</v>
      </c>
      <c r="I20" s="37">
        <f t="shared" si="4"/>
        <v>782880.24</v>
      </c>
      <c r="J20" s="37">
        <f t="shared" si="4"/>
        <v>0</v>
      </c>
      <c r="K20" s="37">
        <f t="shared" si="4"/>
        <v>782880.24</v>
      </c>
      <c r="L20" s="37">
        <f t="shared" si="4"/>
        <v>810991.56</v>
      </c>
      <c r="M20" s="37">
        <f t="shared" si="4"/>
        <v>0</v>
      </c>
      <c r="N20" s="37">
        <f t="shared" si="4"/>
        <v>810991.56</v>
      </c>
    </row>
    <row r="21" spans="3:14" ht="14.25" customHeight="1">
      <c r="C21" s="23" t="s">
        <v>40</v>
      </c>
      <c r="D21" s="41" t="s">
        <v>2</v>
      </c>
      <c r="E21" s="41" t="s">
        <v>3</v>
      </c>
      <c r="F21" s="39">
        <v>789584.76</v>
      </c>
      <c r="G21" s="39"/>
      <c r="H21" s="39">
        <f t="shared" si="1"/>
        <v>789584.76</v>
      </c>
      <c r="I21" s="39">
        <v>782880.24</v>
      </c>
      <c r="J21" s="39"/>
      <c r="K21" s="39">
        <f t="shared" ref="K21" si="5">I21+J21</f>
        <v>782880.24</v>
      </c>
      <c r="L21" s="39">
        <v>810991.56</v>
      </c>
      <c r="M21" s="39"/>
      <c r="N21" s="39">
        <f t="shared" ref="N21" si="6">L21+M21</f>
        <v>810991.56</v>
      </c>
    </row>
    <row r="22" spans="3:14" ht="27.75" customHeight="1">
      <c r="C22" s="24" t="s">
        <v>31</v>
      </c>
      <c r="D22" s="36" t="s">
        <v>3</v>
      </c>
      <c r="E22" s="36"/>
      <c r="F22" s="37">
        <f>F23</f>
        <v>135000</v>
      </c>
      <c r="G22" s="37">
        <f t="shared" ref="G22:N22" si="7">G23</f>
        <v>-35000</v>
      </c>
      <c r="H22" s="37">
        <f t="shared" si="7"/>
        <v>100000</v>
      </c>
      <c r="I22" s="37">
        <f t="shared" si="7"/>
        <v>100000</v>
      </c>
      <c r="J22" s="37">
        <f t="shared" si="7"/>
        <v>0</v>
      </c>
      <c r="K22" s="37">
        <f t="shared" si="7"/>
        <v>100000</v>
      </c>
      <c r="L22" s="37">
        <f t="shared" si="7"/>
        <v>100000</v>
      </c>
      <c r="M22" s="37">
        <f t="shared" si="7"/>
        <v>0</v>
      </c>
      <c r="N22" s="37">
        <f t="shared" si="7"/>
        <v>100000</v>
      </c>
    </row>
    <row r="23" spans="3:14" s="6" customFormat="1" ht="25.5">
      <c r="C23" s="25" t="s">
        <v>61</v>
      </c>
      <c r="D23" s="41" t="s">
        <v>3</v>
      </c>
      <c r="E23" s="41" t="s">
        <v>9</v>
      </c>
      <c r="F23" s="39">
        <v>135000</v>
      </c>
      <c r="G23" s="39">
        <f>-35000</f>
        <v>-35000</v>
      </c>
      <c r="H23" s="39">
        <f t="shared" si="1"/>
        <v>100000</v>
      </c>
      <c r="I23" s="39">
        <f>100000</f>
        <v>100000</v>
      </c>
      <c r="J23" s="39"/>
      <c r="K23" s="39">
        <f t="shared" ref="K23" si="8">I23+J23</f>
        <v>100000</v>
      </c>
      <c r="L23" s="39">
        <v>100000</v>
      </c>
      <c r="M23" s="39"/>
      <c r="N23" s="39">
        <f t="shared" ref="N23" si="9">L23+M23</f>
        <v>100000</v>
      </c>
    </row>
    <row r="24" spans="3:14" ht="12.75">
      <c r="C24" s="26" t="s">
        <v>32</v>
      </c>
      <c r="D24" s="42" t="s">
        <v>10</v>
      </c>
      <c r="E24" s="42"/>
      <c r="F24" s="37">
        <f>SUM(F25:F28)</f>
        <v>33448535.5</v>
      </c>
      <c r="G24" s="37">
        <f t="shared" ref="G24:N24" si="10">SUM(G25:G28)</f>
        <v>1377822.43</v>
      </c>
      <c r="H24" s="37">
        <f t="shared" si="10"/>
        <v>34826357.93</v>
      </c>
      <c r="I24" s="37">
        <f t="shared" si="10"/>
        <v>26655121</v>
      </c>
      <c r="J24" s="37">
        <f t="shared" si="10"/>
        <v>0</v>
      </c>
      <c r="K24" s="37">
        <f t="shared" si="10"/>
        <v>26655121</v>
      </c>
      <c r="L24" s="37">
        <f t="shared" si="10"/>
        <v>27229425</v>
      </c>
      <c r="M24" s="37">
        <f t="shared" si="10"/>
        <v>0</v>
      </c>
      <c r="N24" s="37">
        <f t="shared" si="10"/>
        <v>27229425</v>
      </c>
    </row>
    <row r="25" spans="3:14" ht="12.75">
      <c r="C25" s="27" t="s">
        <v>54</v>
      </c>
      <c r="D25" s="43" t="s">
        <v>10</v>
      </c>
      <c r="E25" s="43" t="s">
        <v>4</v>
      </c>
      <c r="F25" s="39">
        <v>224752.49</v>
      </c>
      <c r="G25" s="39"/>
      <c r="H25" s="39">
        <f t="shared" si="1"/>
        <v>224752.49</v>
      </c>
      <c r="I25" s="39">
        <f>260000</f>
        <v>260000</v>
      </c>
      <c r="J25" s="39"/>
      <c r="K25" s="39">
        <f t="shared" ref="K25:K28" si="11">I25+J25</f>
        <v>260000</v>
      </c>
      <c r="L25" s="39">
        <v>0</v>
      </c>
      <c r="M25" s="39"/>
      <c r="N25" s="39">
        <f t="shared" ref="N25:N28" si="12">L25+M25</f>
        <v>0</v>
      </c>
    </row>
    <row r="26" spans="3:14" ht="12.75">
      <c r="C26" s="23" t="s">
        <v>12</v>
      </c>
      <c r="D26" s="41" t="s">
        <v>10</v>
      </c>
      <c r="E26" s="41" t="s">
        <v>13</v>
      </c>
      <c r="F26" s="39">
        <v>9437948.0099999998</v>
      </c>
      <c r="G26" s="39"/>
      <c r="H26" s="39">
        <f t="shared" si="1"/>
        <v>9437948.0099999998</v>
      </c>
      <c r="I26" s="39">
        <f>2660000</f>
        <v>2660000</v>
      </c>
      <c r="J26" s="39"/>
      <c r="K26" s="39">
        <f t="shared" si="11"/>
        <v>2660000</v>
      </c>
      <c r="L26" s="39">
        <f>2660000</f>
        <v>2660000</v>
      </c>
      <c r="M26" s="39"/>
      <c r="N26" s="39">
        <f t="shared" si="12"/>
        <v>2660000</v>
      </c>
    </row>
    <row r="27" spans="3:14" ht="12.75">
      <c r="C27" s="23" t="s">
        <v>48</v>
      </c>
      <c r="D27" s="41" t="s">
        <v>10</v>
      </c>
      <c r="E27" s="41" t="s">
        <v>8</v>
      </c>
      <c r="F27" s="39">
        <v>22076638</v>
      </c>
      <c r="G27" s="39">
        <f>1359351.63</f>
        <v>1359351.63</v>
      </c>
      <c r="H27" s="39">
        <f t="shared" si="1"/>
        <v>23435989.629999999</v>
      </c>
      <c r="I27" s="39">
        <v>22878295</v>
      </c>
      <c r="J27" s="39"/>
      <c r="K27" s="39">
        <f t="shared" si="11"/>
        <v>22878295</v>
      </c>
      <c r="L27" s="39">
        <f>23714195</f>
        <v>23714195</v>
      </c>
      <c r="M27" s="39"/>
      <c r="N27" s="39">
        <f t="shared" si="12"/>
        <v>23714195</v>
      </c>
    </row>
    <row r="28" spans="3:14" ht="12.75">
      <c r="C28" s="28" t="s">
        <v>20</v>
      </c>
      <c r="D28" s="44" t="s">
        <v>10</v>
      </c>
      <c r="E28" s="44" t="s">
        <v>6</v>
      </c>
      <c r="F28" s="39">
        <v>1709197</v>
      </c>
      <c r="G28" s="39">
        <f>61988-43517.2</f>
        <v>18470.800000000003</v>
      </c>
      <c r="H28" s="39">
        <f t="shared" si="1"/>
        <v>1727667.8</v>
      </c>
      <c r="I28" s="39">
        <f>456826+400000</f>
        <v>856826</v>
      </c>
      <c r="J28" s="39"/>
      <c r="K28" s="39">
        <f t="shared" si="11"/>
        <v>856826</v>
      </c>
      <c r="L28" s="39">
        <f>455230+400000</f>
        <v>855230</v>
      </c>
      <c r="M28" s="39"/>
      <c r="N28" s="39">
        <f t="shared" si="12"/>
        <v>855230</v>
      </c>
    </row>
    <row r="29" spans="3:14" ht="17.25" customHeight="1">
      <c r="C29" s="29" t="s">
        <v>39</v>
      </c>
      <c r="D29" s="45" t="s">
        <v>4</v>
      </c>
      <c r="E29" s="45"/>
      <c r="F29" s="37">
        <f>F31+F30+F32</f>
        <v>212079331.59999999</v>
      </c>
      <c r="G29" s="37">
        <f>G31+G30+G32</f>
        <v>-298730.66000000003</v>
      </c>
      <c r="H29" s="37">
        <f>H31+H30+H32</f>
        <v>211780600.94</v>
      </c>
      <c r="I29" s="37">
        <f>I31+I30+I32</f>
        <v>6846666.6699999999</v>
      </c>
      <c r="J29" s="37">
        <f>J31+J30+J32</f>
        <v>0</v>
      </c>
      <c r="K29" s="37">
        <f t="shared" ref="K29:N29" si="13">K31+K30</f>
        <v>6846666.6699999999</v>
      </c>
      <c r="L29" s="37">
        <f>L31+L30+L32</f>
        <v>270078572.50999999</v>
      </c>
      <c r="M29" s="37">
        <f>M31+M30+M32</f>
        <v>0</v>
      </c>
      <c r="N29" s="37">
        <f t="shared" si="13"/>
        <v>270078572.50999999</v>
      </c>
    </row>
    <row r="30" spans="3:14" ht="12.75">
      <c r="C30" s="28" t="s">
        <v>55</v>
      </c>
      <c r="D30" s="44" t="s">
        <v>4</v>
      </c>
      <c r="E30" s="44" t="s">
        <v>1</v>
      </c>
      <c r="F30" s="39">
        <v>201788000</v>
      </c>
      <c r="G30" s="39">
        <f>-200000-90490.66</f>
        <v>-290490.66000000003</v>
      </c>
      <c r="H30" s="39">
        <f t="shared" si="1"/>
        <v>201497509.34</v>
      </c>
      <c r="I30" s="39">
        <v>3957000</v>
      </c>
      <c r="J30" s="39"/>
      <c r="K30" s="39">
        <f t="shared" ref="K30:K32" si="14">I30+J30</f>
        <v>3957000</v>
      </c>
      <c r="L30" s="39">
        <v>268005572.50999999</v>
      </c>
      <c r="M30" s="39"/>
      <c r="N30" s="39">
        <f t="shared" ref="N30:N32" si="15">L30+M30</f>
        <v>268005572.50999999</v>
      </c>
    </row>
    <row r="31" spans="3:14" ht="12.75">
      <c r="C31" s="28" t="s">
        <v>41</v>
      </c>
      <c r="D31" s="44" t="s">
        <v>4</v>
      </c>
      <c r="E31" s="44" t="s">
        <v>2</v>
      </c>
      <c r="F31" s="39">
        <v>10248771.6</v>
      </c>
      <c r="G31" s="39">
        <f>-8240</f>
        <v>-8240</v>
      </c>
      <c r="H31" s="39">
        <f t="shared" si="1"/>
        <v>10240531.6</v>
      </c>
      <c r="I31" s="39">
        <v>2889666.67</v>
      </c>
      <c r="J31" s="39"/>
      <c r="K31" s="39">
        <f t="shared" si="14"/>
        <v>2889666.67</v>
      </c>
      <c r="L31" s="39">
        <f>1573000+500000</f>
        <v>2073000</v>
      </c>
      <c r="M31" s="39"/>
      <c r="N31" s="39">
        <f t="shared" si="15"/>
        <v>2073000</v>
      </c>
    </row>
    <row r="32" spans="3:14" ht="12.75">
      <c r="C32" s="28" t="s">
        <v>73</v>
      </c>
      <c r="D32" s="44" t="s">
        <v>4</v>
      </c>
      <c r="E32" s="44" t="s">
        <v>3</v>
      </c>
      <c r="F32" s="39">
        <v>42560</v>
      </c>
      <c r="G32" s="39"/>
      <c r="H32" s="39">
        <f t="shared" si="1"/>
        <v>42560</v>
      </c>
      <c r="I32" s="39"/>
      <c r="J32" s="39"/>
      <c r="K32" s="39">
        <f t="shared" si="14"/>
        <v>0</v>
      </c>
      <c r="L32" s="39"/>
      <c r="M32" s="39"/>
      <c r="N32" s="39">
        <f t="shared" si="15"/>
        <v>0</v>
      </c>
    </row>
    <row r="33" spans="2:14" s="7" customFormat="1" ht="12.75">
      <c r="C33" s="29" t="s">
        <v>52</v>
      </c>
      <c r="D33" s="45" t="s">
        <v>11</v>
      </c>
      <c r="E33" s="45"/>
      <c r="F33" s="37">
        <f>F34</f>
        <v>1920000</v>
      </c>
      <c r="G33" s="37">
        <f t="shared" ref="G33:N33" si="16">G34</f>
        <v>18000</v>
      </c>
      <c r="H33" s="37">
        <f t="shared" si="16"/>
        <v>1938000</v>
      </c>
      <c r="I33" s="37">
        <f t="shared" si="16"/>
        <v>2170000</v>
      </c>
      <c r="J33" s="37">
        <f t="shared" si="16"/>
        <v>0</v>
      </c>
      <c r="K33" s="37">
        <f t="shared" si="16"/>
        <v>2170000</v>
      </c>
      <c r="L33" s="37">
        <f t="shared" si="16"/>
        <v>1170000</v>
      </c>
      <c r="M33" s="37">
        <f t="shared" si="16"/>
        <v>0</v>
      </c>
      <c r="N33" s="37">
        <f t="shared" si="16"/>
        <v>1170000</v>
      </c>
    </row>
    <row r="34" spans="2:14" ht="12.75">
      <c r="C34" s="28" t="s">
        <v>53</v>
      </c>
      <c r="D34" s="44" t="s">
        <v>11</v>
      </c>
      <c r="E34" s="44" t="s">
        <v>4</v>
      </c>
      <c r="F34" s="39">
        <v>1920000</v>
      </c>
      <c r="G34" s="39">
        <f>18000</f>
        <v>18000</v>
      </c>
      <c r="H34" s="39">
        <f t="shared" si="1"/>
        <v>1938000</v>
      </c>
      <c r="I34" s="39">
        <v>2170000</v>
      </c>
      <c r="J34" s="39"/>
      <c r="K34" s="39">
        <f t="shared" ref="K34" si="17">I34+J34</f>
        <v>2170000</v>
      </c>
      <c r="L34" s="39">
        <v>1170000</v>
      </c>
      <c r="M34" s="39"/>
      <c r="N34" s="39">
        <f t="shared" ref="N34" si="18">L34+M34</f>
        <v>1170000</v>
      </c>
    </row>
    <row r="35" spans="2:14" ht="17.25" customHeight="1">
      <c r="C35" s="22" t="s">
        <v>33</v>
      </c>
      <c r="D35" s="40" t="s">
        <v>5</v>
      </c>
      <c r="E35" s="40"/>
      <c r="F35" s="37">
        <f>SUM(F36:F40)</f>
        <v>676853091.70999992</v>
      </c>
      <c r="G35" s="37">
        <f t="shared" ref="G35:N35" si="19">SUM(G36:G40)</f>
        <v>9560871.4699999951</v>
      </c>
      <c r="H35" s="37">
        <f t="shared" si="19"/>
        <v>686413963.18000007</v>
      </c>
      <c r="I35" s="37">
        <f t="shared" si="19"/>
        <v>471330996.13</v>
      </c>
      <c r="J35" s="37">
        <f t="shared" si="19"/>
        <v>0</v>
      </c>
      <c r="K35" s="37">
        <f t="shared" si="19"/>
        <v>471330996.13</v>
      </c>
      <c r="L35" s="37">
        <f t="shared" si="19"/>
        <v>486495530</v>
      </c>
      <c r="M35" s="37">
        <f t="shared" si="19"/>
        <v>0</v>
      </c>
      <c r="N35" s="37">
        <f t="shared" si="19"/>
        <v>486495530</v>
      </c>
    </row>
    <row r="36" spans="2:14" ht="12.75">
      <c r="C36" s="23" t="s">
        <v>17</v>
      </c>
      <c r="D36" s="41" t="s">
        <v>5</v>
      </c>
      <c r="E36" s="41" t="s">
        <v>1</v>
      </c>
      <c r="F36" s="39">
        <v>279081067.41000003</v>
      </c>
      <c r="G36" s="39">
        <f>3906250.75</f>
        <v>3906250.75</v>
      </c>
      <c r="H36" s="39">
        <f t="shared" si="1"/>
        <v>282987318.16000003</v>
      </c>
      <c r="I36" s="39">
        <v>127323653</v>
      </c>
      <c r="J36" s="39"/>
      <c r="K36" s="39">
        <f t="shared" ref="K36:K40" si="20">I36+J36</f>
        <v>127323653</v>
      </c>
      <c r="L36" s="39">
        <v>126946637</v>
      </c>
      <c r="M36" s="39"/>
      <c r="N36" s="39">
        <f t="shared" ref="N36:N40" si="21">L36+M36</f>
        <v>126946637</v>
      </c>
    </row>
    <row r="37" spans="2:14" ht="12.75">
      <c r="C37" s="28" t="s">
        <v>14</v>
      </c>
      <c r="D37" s="44" t="s">
        <v>5</v>
      </c>
      <c r="E37" s="44" t="s">
        <v>2</v>
      </c>
      <c r="F37" s="39">
        <v>350425755.86000001</v>
      </c>
      <c r="G37" s="39">
        <f>14083995.58</f>
        <v>14083995.58</v>
      </c>
      <c r="H37" s="39">
        <f t="shared" si="1"/>
        <v>364509751.44</v>
      </c>
      <c r="I37" s="39">
        <v>292871059</v>
      </c>
      <c r="J37" s="39"/>
      <c r="K37" s="39">
        <f t="shared" si="20"/>
        <v>292871059</v>
      </c>
      <c r="L37" s="39">
        <v>307484533</v>
      </c>
      <c r="M37" s="39"/>
      <c r="N37" s="39">
        <f t="shared" si="21"/>
        <v>307484533</v>
      </c>
    </row>
    <row r="38" spans="2:14" ht="12.75">
      <c r="C38" s="28" t="s">
        <v>59</v>
      </c>
      <c r="D38" s="44" t="s">
        <v>5</v>
      </c>
      <c r="E38" s="44" t="s">
        <v>3</v>
      </c>
      <c r="F38" s="39">
        <v>28082634.02</v>
      </c>
      <c r="G38" s="39">
        <f>753105.63</f>
        <v>753105.63</v>
      </c>
      <c r="H38" s="39">
        <f t="shared" si="1"/>
        <v>28835739.649999999</v>
      </c>
      <c r="I38" s="39">
        <f>12326780+14768354</f>
        <v>27095134</v>
      </c>
      <c r="J38" s="39"/>
      <c r="K38" s="39">
        <f t="shared" si="20"/>
        <v>27095134</v>
      </c>
      <c r="L38" s="39">
        <f>12232700+16054495</f>
        <v>28287195</v>
      </c>
      <c r="M38" s="39"/>
      <c r="N38" s="39">
        <f t="shared" si="21"/>
        <v>28287195</v>
      </c>
    </row>
    <row r="39" spans="2:14" ht="12.75">
      <c r="C39" s="28" t="s">
        <v>18</v>
      </c>
      <c r="D39" s="44" t="s">
        <v>5</v>
      </c>
      <c r="E39" s="44" t="s">
        <v>5</v>
      </c>
      <c r="F39" s="39">
        <v>2149901.63</v>
      </c>
      <c r="G39" s="39">
        <f>668.08</f>
        <v>668.08</v>
      </c>
      <c r="H39" s="39">
        <f t="shared" si="1"/>
        <v>2150569.71</v>
      </c>
      <c r="I39" s="39">
        <f>300000+1571514.63</f>
        <v>1871514.63</v>
      </c>
      <c r="J39" s="39"/>
      <c r="K39" s="39">
        <f t="shared" si="20"/>
        <v>1871514.63</v>
      </c>
      <c r="L39" s="39">
        <f>300000+1571514.63</f>
        <v>1871514.63</v>
      </c>
      <c r="M39" s="39"/>
      <c r="N39" s="39">
        <f t="shared" si="21"/>
        <v>1871514.63</v>
      </c>
    </row>
    <row r="40" spans="2:14" ht="12.75">
      <c r="C40" s="28" t="s">
        <v>15</v>
      </c>
      <c r="D40" s="44" t="s">
        <v>5</v>
      </c>
      <c r="E40" s="44" t="s">
        <v>8</v>
      </c>
      <c r="F40" s="39">
        <v>17113732.789999999</v>
      </c>
      <c r="G40" s="39">
        <f>-9183148.57</f>
        <v>-9183148.5700000003</v>
      </c>
      <c r="H40" s="39">
        <f t="shared" si="1"/>
        <v>7930584.2199999988</v>
      </c>
      <c r="I40" s="39">
        <v>22169635.5</v>
      </c>
      <c r="J40" s="39"/>
      <c r="K40" s="39">
        <f t="shared" si="20"/>
        <v>22169635.5</v>
      </c>
      <c r="L40" s="39">
        <v>21905650.370000001</v>
      </c>
      <c r="M40" s="39"/>
      <c r="N40" s="39">
        <f t="shared" si="21"/>
        <v>21905650.370000001</v>
      </c>
    </row>
    <row r="41" spans="2:14" ht="17.25" customHeight="1">
      <c r="C41" s="29" t="s">
        <v>60</v>
      </c>
      <c r="D41" s="45" t="s">
        <v>13</v>
      </c>
      <c r="E41" s="45"/>
      <c r="F41" s="37">
        <f>F42</f>
        <v>104806888.83</v>
      </c>
      <c r="G41" s="37">
        <f t="shared" ref="G41:N41" si="22">G42</f>
        <v>3762279.57</v>
      </c>
      <c r="H41" s="37">
        <f t="shared" si="22"/>
        <v>108569168.39999999</v>
      </c>
      <c r="I41" s="37">
        <f t="shared" si="22"/>
        <v>91901003.629999995</v>
      </c>
      <c r="J41" s="37">
        <f t="shared" si="22"/>
        <v>0</v>
      </c>
      <c r="K41" s="37">
        <f t="shared" si="22"/>
        <v>91901003.629999995</v>
      </c>
      <c r="L41" s="37">
        <f t="shared" si="22"/>
        <v>91164209.629999995</v>
      </c>
      <c r="M41" s="37">
        <f t="shared" si="22"/>
        <v>0</v>
      </c>
      <c r="N41" s="37">
        <f t="shared" si="22"/>
        <v>91164209.629999995</v>
      </c>
    </row>
    <row r="42" spans="2:14" ht="12.75">
      <c r="C42" s="28" t="s">
        <v>16</v>
      </c>
      <c r="D42" s="44" t="s">
        <v>13</v>
      </c>
      <c r="E42" s="44" t="s">
        <v>1</v>
      </c>
      <c r="F42" s="39">
        <v>104806888.83</v>
      </c>
      <c r="G42" s="39">
        <f>3762279.57</f>
        <v>3762279.57</v>
      </c>
      <c r="H42" s="39">
        <f t="shared" si="1"/>
        <v>108569168.39999999</v>
      </c>
      <c r="I42" s="39">
        <f>91901003.63</f>
        <v>91901003.629999995</v>
      </c>
      <c r="J42" s="39"/>
      <c r="K42" s="39">
        <f t="shared" ref="K42" si="23">I42+J42</f>
        <v>91901003.629999995</v>
      </c>
      <c r="L42" s="39">
        <f>91164209.63</f>
        <v>91164209.629999995</v>
      </c>
      <c r="M42" s="39"/>
      <c r="N42" s="39">
        <f t="shared" ref="N42" si="24">L42+M42</f>
        <v>91164209.629999995</v>
      </c>
    </row>
    <row r="43" spans="2:14" ht="12.75">
      <c r="C43" s="24" t="s">
        <v>34</v>
      </c>
      <c r="D43" s="36" t="s">
        <v>9</v>
      </c>
      <c r="E43" s="46"/>
      <c r="F43" s="37">
        <f>SUM(F44:F47)</f>
        <v>120618643.10999998</v>
      </c>
      <c r="G43" s="37">
        <f t="shared" ref="G43:N43" si="25">SUM(G44:G47)</f>
        <v>-10104.85999999987</v>
      </c>
      <c r="H43" s="37">
        <f t="shared" si="25"/>
        <v>120608538.25</v>
      </c>
      <c r="I43" s="37">
        <f t="shared" si="25"/>
        <v>17432930.170000002</v>
      </c>
      <c r="J43" s="37">
        <f t="shared" si="25"/>
        <v>0</v>
      </c>
      <c r="K43" s="37">
        <f t="shared" si="25"/>
        <v>17432930.170000002</v>
      </c>
      <c r="L43" s="37">
        <f t="shared" si="25"/>
        <v>17710661.260000002</v>
      </c>
      <c r="M43" s="37">
        <f t="shared" si="25"/>
        <v>0</v>
      </c>
      <c r="N43" s="37">
        <f t="shared" si="25"/>
        <v>17710661.260000002</v>
      </c>
    </row>
    <row r="44" spans="2:14" ht="12.75">
      <c r="C44" s="30" t="s">
        <v>22</v>
      </c>
      <c r="D44" s="38" t="s">
        <v>9</v>
      </c>
      <c r="E44" s="38" t="s">
        <v>1</v>
      </c>
      <c r="F44" s="39">
        <v>767178.1</v>
      </c>
      <c r="G44" s="39">
        <f>-100161.2</f>
        <v>-100161.2</v>
      </c>
      <c r="H44" s="39">
        <f t="shared" si="1"/>
        <v>667016.9</v>
      </c>
      <c r="I44" s="39">
        <f>1006000</f>
        <v>1006000</v>
      </c>
      <c r="J44" s="39"/>
      <c r="K44" s="39">
        <f t="shared" ref="K44:K47" si="26">I44+J44</f>
        <v>1006000</v>
      </c>
      <c r="L44" s="39">
        <f>1131000</f>
        <v>1131000</v>
      </c>
      <c r="M44" s="39"/>
      <c r="N44" s="39">
        <f t="shared" ref="N44:N47" si="27">L44+M44</f>
        <v>1131000</v>
      </c>
    </row>
    <row r="45" spans="2:14" s="6" customFormat="1" ht="12.75">
      <c r="C45" s="28" t="s">
        <v>25</v>
      </c>
      <c r="D45" s="47" t="s">
        <v>9</v>
      </c>
      <c r="E45" s="47" t="s">
        <v>3</v>
      </c>
      <c r="F45" s="39">
        <v>101775306.34999999</v>
      </c>
      <c r="G45" s="39">
        <f>-543461.69</f>
        <v>-543461.68999999994</v>
      </c>
      <c r="H45" s="39">
        <f t="shared" si="1"/>
        <v>101231844.66</v>
      </c>
      <c r="I45" s="39">
        <v>246000</v>
      </c>
      <c r="J45" s="39"/>
      <c r="K45" s="39">
        <f t="shared" si="26"/>
        <v>246000</v>
      </c>
      <c r="L45" s="39">
        <v>246000</v>
      </c>
      <c r="M45" s="39"/>
      <c r="N45" s="39">
        <f t="shared" si="27"/>
        <v>246000</v>
      </c>
    </row>
    <row r="46" spans="2:14" ht="12.75">
      <c r="C46" s="23" t="s">
        <v>35</v>
      </c>
      <c r="D46" s="44" t="s">
        <v>9</v>
      </c>
      <c r="E46" s="44" t="s">
        <v>10</v>
      </c>
      <c r="F46" s="39">
        <v>15334670.17</v>
      </c>
      <c r="G46" s="39">
        <f>-256167.63+885085.66</f>
        <v>628918.03</v>
      </c>
      <c r="H46" s="39">
        <f t="shared" si="1"/>
        <v>15963588.199999999</v>
      </c>
      <c r="I46" s="39">
        <v>13342382.140000001</v>
      </c>
      <c r="J46" s="39"/>
      <c r="K46" s="39">
        <f t="shared" si="26"/>
        <v>13342382.140000001</v>
      </c>
      <c r="L46" s="39">
        <v>13400662.07</v>
      </c>
      <c r="M46" s="39"/>
      <c r="N46" s="39">
        <f t="shared" si="27"/>
        <v>13400662.07</v>
      </c>
    </row>
    <row r="47" spans="2:14" ht="12.75">
      <c r="C47" s="23" t="s">
        <v>47</v>
      </c>
      <c r="D47" s="44" t="s">
        <v>9</v>
      </c>
      <c r="E47" s="44" t="s">
        <v>11</v>
      </c>
      <c r="F47" s="39">
        <f>2741488.49</f>
        <v>2741488.49</v>
      </c>
      <c r="G47" s="39">
        <f>4600</f>
        <v>4600</v>
      </c>
      <c r="H47" s="39">
        <f t="shared" si="1"/>
        <v>2746088.49</v>
      </c>
      <c r="I47" s="39">
        <f>2838548.03</f>
        <v>2838548.03</v>
      </c>
      <c r="J47" s="39"/>
      <c r="K47" s="39">
        <f t="shared" si="26"/>
        <v>2838548.03</v>
      </c>
      <c r="L47" s="39">
        <f>2932999.19</f>
        <v>2932999.19</v>
      </c>
      <c r="M47" s="39"/>
      <c r="N47" s="39">
        <f t="shared" si="27"/>
        <v>2932999.19</v>
      </c>
    </row>
    <row r="48" spans="2:14" ht="12.75">
      <c r="B48" s="8"/>
      <c r="C48" s="31" t="s">
        <v>45</v>
      </c>
      <c r="D48" s="36" t="s">
        <v>19</v>
      </c>
      <c r="E48" s="45"/>
      <c r="F48" s="37">
        <f>SUM(F49:F50)</f>
        <v>400000</v>
      </c>
      <c r="G48" s="37">
        <f t="shared" ref="G48:N48" si="28">SUM(G49:G50)</f>
        <v>0</v>
      </c>
      <c r="H48" s="37">
        <f t="shared" si="28"/>
        <v>400000</v>
      </c>
      <c r="I48" s="37">
        <f t="shared" si="28"/>
        <v>400000</v>
      </c>
      <c r="J48" s="37">
        <f t="shared" si="28"/>
        <v>0</v>
      </c>
      <c r="K48" s="37">
        <f t="shared" si="28"/>
        <v>400000</v>
      </c>
      <c r="L48" s="37">
        <f t="shared" si="28"/>
        <v>400000</v>
      </c>
      <c r="M48" s="37">
        <f t="shared" si="28"/>
        <v>0</v>
      </c>
      <c r="N48" s="37">
        <f t="shared" si="28"/>
        <v>400000</v>
      </c>
    </row>
    <row r="49" spans="2:14" ht="12.75">
      <c r="B49" s="8"/>
      <c r="C49" s="32" t="s">
        <v>58</v>
      </c>
      <c r="D49" s="38" t="s">
        <v>19</v>
      </c>
      <c r="E49" s="44" t="s">
        <v>1</v>
      </c>
      <c r="F49" s="39">
        <f>150000+200000</f>
        <v>350000</v>
      </c>
      <c r="G49" s="39"/>
      <c r="H49" s="39">
        <f t="shared" si="1"/>
        <v>350000</v>
      </c>
      <c r="I49" s="39">
        <f>150000+200000</f>
        <v>350000</v>
      </c>
      <c r="J49" s="39"/>
      <c r="K49" s="39">
        <f t="shared" ref="K49:K50" si="29">I49+J49</f>
        <v>350000</v>
      </c>
      <c r="L49" s="39">
        <f>150000+200000</f>
        <v>350000</v>
      </c>
      <c r="M49" s="39"/>
      <c r="N49" s="39">
        <f t="shared" ref="N49:N50" si="30">L49+M49</f>
        <v>350000</v>
      </c>
    </row>
    <row r="50" spans="2:14" ht="12.75">
      <c r="B50" s="8"/>
      <c r="C50" s="32" t="s">
        <v>42</v>
      </c>
      <c r="D50" s="38" t="s">
        <v>19</v>
      </c>
      <c r="E50" s="44" t="s">
        <v>2</v>
      </c>
      <c r="F50" s="39">
        <f>50000</f>
        <v>50000</v>
      </c>
      <c r="G50" s="39"/>
      <c r="H50" s="39">
        <f t="shared" si="1"/>
        <v>50000</v>
      </c>
      <c r="I50" s="39">
        <f>50000</f>
        <v>50000</v>
      </c>
      <c r="J50" s="39"/>
      <c r="K50" s="39">
        <f t="shared" si="29"/>
        <v>50000</v>
      </c>
      <c r="L50" s="39">
        <f>50000</f>
        <v>50000</v>
      </c>
      <c r="M50" s="39"/>
      <c r="N50" s="39">
        <f t="shared" si="30"/>
        <v>50000</v>
      </c>
    </row>
    <row r="51" spans="2:14" ht="38.25">
      <c r="B51" s="8"/>
      <c r="C51" s="33" t="s">
        <v>46</v>
      </c>
      <c r="D51" s="45" t="s">
        <v>28</v>
      </c>
      <c r="E51" s="45"/>
      <c r="F51" s="37">
        <f>SUM(F52:F53)</f>
        <v>29346099.93</v>
      </c>
      <c r="G51" s="37">
        <f t="shared" ref="G51:H51" si="31">SUM(G52:G53)</f>
        <v>0</v>
      </c>
      <c r="H51" s="37">
        <f t="shared" si="31"/>
        <v>29346099.93</v>
      </c>
      <c r="I51" s="37">
        <f>SUM(I52:I53)</f>
        <v>2677628.77</v>
      </c>
      <c r="J51" s="37">
        <f t="shared" ref="J51:K51" si="32">SUM(J52:J53)</f>
        <v>0</v>
      </c>
      <c r="K51" s="37">
        <f t="shared" si="32"/>
        <v>2677628.77</v>
      </c>
      <c r="L51" s="37">
        <f>SUM(L52:L53)</f>
        <v>2637874.4</v>
      </c>
      <c r="M51" s="37">
        <f t="shared" ref="M51:N51" si="33">SUM(M52:M53)</f>
        <v>0</v>
      </c>
      <c r="N51" s="37">
        <f t="shared" si="33"/>
        <v>2637874.4</v>
      </c>
    </row>
    <row r="52" spans="2:14" s="7" customFormat="1" ht="25.5">
      <c r="B52" s="9"/>
      <c r="C52" s="34" t="s">
        <v>38</v>
      </c>
      <c r="D52" s="48" t="s">
        <v>28</v>
      </c>
      <c r="E52" s="48" t="s">
        <v>1</v>
      </c>
      <c r="F52" s="49">
        <f>3488653.87</f>
        <v>3488653.87</v>
      </c>
      <c r="G52" s="49"/>
      <c r="H52" s="39">
        <f t="shared" si="1"/>
        <v>3488653.87</v>
      </c>
      <c r="I52" s="49">
        <f>2677628.77</f>
        <v>2677628.77</v>
      </c>
      <c r="J52" s="49"/>
      <c r="K52" s="39">
        <f t="shared" ref="K52:K53" si="34">I52+J52</f>
        <v>2677628.77</v>
      </c>
      <c r="L52" s="39">
        <f>2637874.4</f>
        <v>2637874.4</v>
      </c>
      <c r="M52" s="49"/>
      <c r="N52" s="39">
        <f t="shared" ref="N52:N53" si="35">L52+M52</f>
        <v>2637874.4</v>
      </c>
    </row>
    <row r="53" spans="2:14" s="7" customFormat="1" ht="12.75">
      <c r="B53" s="9"/>
      <c r="C53" s="28" t="s">
        <v>49</v>
      </c>
      <c r="D53" s="44" t="s">
        <v>28</v>
      </c>
      <c r="E53" s="44" t="s">
        <v>3</v>
      </c>
      <c r="F53" s="39">
        <v>25857446.059999999</v>
      </c>
      <c r="G53" s="39"/>
      <c r="H53" s="39">
        <f t="shared" si="1"/>
        <v>25857446.059999999</v>
      </c>
      <c r="I53" s="39">
        <v>0</v>
      </c>
      <c r="J53" s="39"/>
      <c r="K53" s="39">
        <f t="shared" si="34"/>
        <v>0</v>
      </c>
      <c r="L53" s="37">
        <v>0</v>
      </c>
      <c r="M53" s="39"/>
      <c r="N53" s="39">
        <f t="shared" si="35"/>
        <v>0</v>
      </c>
    </row>
    <row r="54" spans="2:14" s="7" customFormat="1" ht="12.75">
      <c r="B54" s="9"/>
      <c r="C54" s="35" t="s">
        <v>23</v>
      </c>
      <c r="D54" s="36"/>
      <c r="E54" s="38"/>
      <c r="F54" s="37">
        <f>F51+F48+F43+F41+F35+F29+F24+F22+F20+F11+F33</f>
        <v>1243695427.6599998</v>
      </c>
      <c r="G54" s="37">
        <f t="shared" ref="G54:H54" si="36">G51+G48+G43+G41+G35+G29+G24+G22+G20+G11+G33</f>
        <v>15115045.319999995</v>
      </c>
      <c r="H54" s="37">
        <f t="shared" si="36"/>
        <v>1258810472.98</v>
      </c>
      <c r="I54" s="37">
        <f>I51+I48+I43+I41+I35+I29+I24+I22+I20+I11+I33</f>
        <v>701454468.09000003</v>
      </c>
      <c r="J54" s="37">
        <f t="shared" ref="J54:K54" si="37">J51+J48+J43+J41+J35+J29+J24+J22+J20+J11+J33</f>
        <v>0</v>
      </c>
      <c r="K54" s="37">
        <f t="shared" si="37"/>
        <v>701454468.09000003</v>
      </c>
      <c r="L54" s="37">
        <f>L51+L48+L43+L41+L35+L29+L24+L22+L20+L11+L33</f>
        <v>986037742.70999992</v>
      </c>
      <c r="M54" s="37">
        <f t="shared" ref="M54:N54" si="38">M51+M48+M43+M41+M35+M29+M24+M22+M20+M11+M33</f>
        <v>0</v>
      </c>
      <c r="N54" s="37">
        <f t="shared" si="38"/>
        <v>986037742.70999992</v>
      </c>
    </row>
    <row r="55" spans="2:14">
      <c r="D55" s="3"/>
      <c r="E55" s="5"/>
      <c r="F55" s="13"/>
      <c r="G55" s="13"/>
      <c r="H55" s="13"/>
      <c r="I55" s="13"/>
      <c r="J55" s="13"/>
      <c r="K55" s="13"/>
      <c r="L55" s="13"/>
    </row>
    <row r="56" spans="2:14" ht="12.75">
      <c r="D56" s="3"/>
      <c r="E56" s="3"/>
      <c r="F56" s="17"/>
      <c r="G56" s="17"/>
      <c r="H56" s="17"/>
      <c r="I56" s="17"/>
      <c r="J56" s="17"/>
      <c r="K56" s="17"/>
      <c r="L56" s="17"/>
      <c r="M56" s="18"/>
      <c r="N56" s="18"/>
    </row>
    <row r="57" spans="2:14">
      <c r="D57" s="3"/>
      <c r="E57" s="3"/>
      <c r="F57" s="13"/>
      <c r="G57" s="13"/>
      <c r="H57" s="13"/>
      <c r="I57" s="13"/>
      <c r="J57" s="13"/>
      <c r="K57" s="13"/>
      <c r="L57" s="13"/>
    </row>
    <row r="58" spans="2:14">
      <c r="E58" s="3"/>
      <c r="F58" s="13"/>
      <c r="G58" s="13"/>
      <c r="H58" s="13"/>
      <c r="I58" s="13"/>
      <c r="J58" s="13"/>
      <c r="K58" s="13"/>
      <c r="L58" s="13"/>
    </row>
    <row r="59" spans="2:14">
      <c r="F59" s="13"/>
      <c r="G59" s="13"/>
      <c r="H59" s="13"/>
      <c r="I59" s="13"/>
      <c r="J59" s="13"/>
      <c r="K59" s="13"/>
      <c r="L59" s="13"/>
    </row>
    <row r="60" spans="2:14">
      <c r="F60" s="13"/>
      <c r="G60" s="13"/>
      <c r="H60" s="13"/>
      <c r="I60" s="13"/>
      <c r="J60" s="13"/>
      <c r="K60" s="13"/>
      <c r="L60" s="13"/>
    </row>
    <row r="61" spans="2:14">
      <c r="F61" s="13"/>
      <c r="G61" s="13"/>
      <c r="H61" s="13"/>
      <c r="I61" s="13"/>
      <c r="J61" s="13"/>
      <c r="K61" s="13"/>
      <c r="L61" s="13"/>
    </row>
    <row r="62" spans="2:14">
      <c r="C62" s="1" t="s">
        <v>24</v>
      </c>
      <c r="F62" s="13"/>
      <c r="G62" s="13"/>
      <c r="H62" s="13"/>
      <c r="I62" s="13"/>
      <c r="J62" s="13"/>
      <c r="K62" s="13"/>
      <c r="L62" s="13"/>
    </row>
    <row r="63" spans="2:14">
      <c r="F63" s="13"/>
      <c r="G63" s="13"/>
      <c r="H63" s="13"/>
      <c r="I63" s="13"/>
      <c r="J63" s="13"/>
      <c r="K63" s="13"/>
      <c r="L63" s="13"/>
    </row>
    <row r="64" spans="2:14">
      <c r="F64" s="13"/>
      <c r="G64" s="13"/>
      <c r="H64" s="13"/>
      <c r="I64" s="13"/>
      <c r="J64" s="13"/>
      <c r="K64" s="13"/>
      <c r="L64" s="13"/>
    </row>
    <row r="65" spans="6:12">
      <c r="F65" s="13"/>
      <c r="G65" s="13"/>
      <c r="H65" s="13"/>
      <c r="I65" s="13"/>
      <c r="J65" s="13"/>
      <c r="K65" s="13"/>
      <c r="L65" s="13"/>
    </row>
    <row r="66" spans="6:12">
      <c r="F66" s="13"/>
      <c r="G66" s="13"/>
      <c r="H66" s="13"/>
      <c r="I66" s="13"/>
      <c r="J66" s="13"/>
      <c r="K66" s="13"/>
      <c r="L66" s="13"/>
    </row>
    <row r="67" spans="6:12">
      <c r="F67" s="13"/>
      <c r="G67" s="13"/>
      <c r="H67" s="13"/>
      <c r="I67" s="13"/>
      <c r="J67" s="13"/>
      <c r="K67" s="13"/>
      <c r="L67" s="13"/>
    </row>
    <row r="68" spans="6:12">
      <c r="F68" s="13"/>
      <c r="G68" s="13"/>
      <c r="H68" s="13"/>
      <c r="I68" s="13"/>
      <c r="J68" s="13"/>
      <c r="K68" s="13"/>
      <c r="L68" s="13"/>
    </row>
    <row r="69" spans="6:12">
      <c r="F69" s="13"/>
      <c r="G69" s="13"/>
      <c r="H69" s="13"/>
      <c r="I69" s="13"/>
      <c r="J69" s="13"/>
      <c r="K69" s="13"/>
      <c r="L69" s="13"/>
    </row>
    <row r="70" spans="6:12">
      <c r="F70" s="13"/>
      <c r="G70" s="13"/>
      <c r="H70" s="13"/>
      <c r="I70" s="13"/>
      <c r="J70" s="13"/>
      <c r="K70" s="13"/>
      <c r="L70" s="13"/>
    </row>
    <row r="71" spans="6:12">
      <c r="F71" s="13"/>
      <c r="G71" s="13"/>
      <c r="H71" s="13"/>
      <c r="I71" s="13"/>
      <c r="J71" s="13"/>
      <c r="K71" s="13"/>
      <c r="L71" s="13"/>
    </row>
    <row r="72" spans="6:12">
      <c r="F72" s="13"/>
      <c r="G72" s="13"/>
      <c r="H72" s="13"/>
      <c r="I72" s="13"/>
      <c r="J72" s="13"/>
      <c r="K72" s="13"/>
      <c r="L72" s="13"/>
    </row>
    <row r="73" spans="6:12">
      <c r="F73" s="13"/>
      <c r="G73" s="13"/>
      <c r="H73" s="13"/>
      <c r="I73" s="13"/>
      <c r="J73" s="13"/>
      <c r="K73" s="13"/>
      <c r="L73" s="13"/>
    </row>
    <row r="74" spans="6:12">
      <c r="F74" s="13"/>
      <c r="G74" s="13"/>
      <c r="H74" s="13"/>
      <c r="I74" s="13"/>
      <c r="J74" s="13"/>
      <c r="K74" s="13"/>
      <c r="L74" s="13"/>
    </row>
    <row r="75" spans="6:12">
      <c r="F75" s="13"/>
      <c r="G75" s="13"/>
      <c r="H75" s="13"/>
      <c r="I75" s="13"/>
      <c r="J75" s="13"/>
      <c r="K75" s="13"/>
      <c r="L75" s="13"/>
    </row>
    <row r="76" spans="6:12">
      <c r="F76" s="13"/>
      <c r="G76" s="13"/>
      <c r="H76" s="13"/>
      <c r="I76" s="13"/>
      <c r="J76" s="13"/>
      <c r="K76" s="13"/>
      <c r="L76" s="13"/>
    </row>
    <row r="77" spans="6:12">
      <c r="F77" s="13"/>
      <c r="G77" s="13"/>
      <c r="H77" s="13"/>
      <c r="I77" s="13"/>
      <c r="J77" s="13"/>
      <c r="K77" s="13"/>
      <c r="L77" s="13"/>
    </row>
    <row r="78" spans="6:12">
      <c r="F78" s="13"/>
      <c r="G78" s="13"/>
      <c r="H78" s="13"/>
      <c r="I78" s="13"/>
      <c r="J78" s="13"/>
      <c r="K78" s="13"/>
      <c r="L78" s="13"/>
    </row>
    <row r="79" spans="6:12">
      <c r="F79" s="13"/>
      <c r="G79" s="13"/>
      <c r="H79" s="13"/>
      <c r="I79" s="13"/>
      <c r="J79" s="13"/>
      <c r="K79" s="13"/>
      <c r="L79" s="13"/>
    </row>
    <row r="80" spans="6:12">
      <c r="F80" s="2"/>
      <c r="G80" s="2"/>
      <c r="H80" s="2"/>
      <c r="I80" s="2"/>
      <c r="J80" s="2"/>
      <c r="K80" s="2"/>
      <c r="L80" s="2"/>
    </row>
    <row r="81" spans="6:12">
      <c r="F81" s="2"/>
      <c r="G81" s="2"/>
      <c r="H81" s="2"/>
      <c r="I81" s="2"/>
      <c r="J81" s="2"/>
      <c r="K81" s="2"/>
      <c r="L81" s="2"/>
    </row>
    <row r="82" spans="6:12">
      <c r="F82" s="2"/>
      <c r="G82" s="2"/>
      <c r="H82" s="2"/>
      <c r="I82" s="2"/>
      <c r="J82" s="2"/>
      <c r="K82" s="2"/>
      <c r="L82" s="2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</sheetData>
  <mergeCells count="8">
    <mergeCell ref="C6:N6"/>
    <mergeCell ref="C7:F7"/>
    <mergeCell ref="C8:C9"/>
    <mergeCell ref="D8:D9"/>
    <mergeCell ref="E8:E9"/>
    <mergeCell ref="F8:H8"/>
    <mergeCell ref="I8:K8"/>
    <mergeCell ref="L8:N8"/>
  </mergeCells>
  <pageMargins left="0" right="0" top="0.39370078740157483" bottom="0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7"/>
  <sheetViews>
    <sheetView tabSelected="1" topLeftCell="B2" workbookViewId="0">
      <selection activeCell="C6" sqref="C6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.5703125" style="1" customWidth="1"/>
    <col min="4" max="4" width="8.85546875" style="4" customWidth="1"/>
    <col min="5" max="5" width="7.85546875" style="4" customWidth="1"/>
    <col min="6" max="6" width="16.140625" style="1" hidden="1" customWidth="1"/>
    <col min="7" max="7" width="14.7109375" style="1" hidden="1" customWidth="1"/>
    <col min="8" max="8" width="15.140625" style="1" customWidth="1"/>
    <col min="9" max="9" width="17.42578125" style="1" hidden="1" customWidth="1"/>
    <col min="10" max="10" width="16" style="1" hidden="1" customWidth="1"/>
    <col min="11" max="11" width="16.5703125" style="1" customWidth="1"/>
    <col min="12" max="12" width="17.42578125" style="1" hidden="1" customWidth="1"/>
    <col min="13" max="13" width="13.85546875" style="1" hidden="1" customWidth="1"/>
    <col min="14" max="14" width="16.7109375" style="1" customWidth="1"/>
    <col min="15" max="16384" width="9.140625" style="1"/>
  </cols>
  <sheetData>
    <row r="1" spans="3:14" ht="15" hidden="1" customHeight="1"/>
    <row r="2" spans="3:14" ht="15">
      <c r="F2" s="12"/>
      <c r="G2" s="12"/>
      <c r="H2" s="12"/>
      <c r="I2" s="12"/>
      <c r="J2" s="12"/>
      <c r="K2" s="12"/>
      <c r="N2" s="55" t="s">
        <v>69</v>
      </c>
    </row>
    <row r="3" spans="3:14" ht="15">
      <c r="F3" s="12"/>
      <c r="G3" s="12"/>
      <c r="H3" s="12"/>
      <c r="I3" s="12"/>
      <c r="J3" s="12"/>
      <c r="K3" s="12"/>
      <c r="N3" s="56" t="s">
        <v>36</v>
      </c>
    </row>
    <row r="4" spans="3:14" ht="15">
      <c r="F4" s="12"/>
      <c r="G4" s="12"/>
      <c r="H4" s="12"/>
      <c r="I4" s="12"/>
      <c r="J4" s="12"/>
      <c r="K4" s="12"/>
      <c r="N4" s="55" t="s">
        <v>75</v>
      </c>
    </row>
    <row r="5" spans="3:14" ht="15">
      <c r="F5" s="12"/>
      <c r="G5" s="12"/>
      <c r="H5" s="12"/>
      <c r="I5" s="12"/>
      <c r="J5" s="12"/>
      <c r="K5" s="12"/>
      <c r="L5" s="12"/>
      <c r="N5" s="16"/>
    </row>
    <row r="6" spans="3:14" ht="15">
      <c r="F6" s="12"/>
      <c r="G6" s="12"/>
      <c r="H6" s="12"/>
      <c r="I6" s="12"/>
      <c r="J6" s="12"/>
      <c r="K6" s="12"/>
      <c r="L6" s="12"/>
      <c r="N6" s="55" t="s">
        <v>67</v>
      </c>
    </row>
    <row r="7" spans="3:14" ht="15">
      <c r="F7" s="12"/>
      <c r="G7" s="12"/>
      <c r="H7" s="12"/>
      <c r="I7" s="12"/>
      <c r="J7" s="12"/>
      <c r="K7" s="12"/>
      <c r="L7" s="12"/>
      <c r="N7" s="56" t="s">
        <v>36</v>
      </c>
    </row>
    <row r="8" spans="3:14" ht="15">
      <c r="F8" s="12"/>
      <c r="G8" s="12"/>
      <c r="H8" s="12"/>
      <c r="I8" s="12"/>
      <c r="J8" s="12"/>
      <c r="K8" s="12"/>
      <c r="L8" s="12"/>
      <c r="N8" s="56" t="s">
        <v>68</v>
      </c>
    </row>
    <row r="9" spans="3:14" ht="12" customHeight="1">
      <c r="F9" s="12"/>
      <c r="G9" s="12"/>
      <c r="H9" s="12"/>
      <c r="I9" s="12"/>
      <c r="J9" s="12"/>
      <c r="K9" s="12"/>
      <c r="L9" s="12"/>
    </row>
    <row r="10" spans="3:14" ht="15.75">
      <c r="C10" s="58" t="s">
        <v>66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spans="3:14" ht="6.75" customHeight="1">
      <c r="C11" s="59"/>
      <c r="D11" s="59"/>
      <c r="E11" s="59"/>
      <c r="F11" s="59"/>
      <c r="G11" s="57"/>
      <c r="H11" s="57"/>
    </row>
    <row r="12" spans="3:14" s="16" customFormat="1" ht="14.25" customHeight="1">
      <c r="C12" s="60" t="s">
        <v>0</v>
      </c>
      <c r="D12" s="62" t="s">
        <v>51</v>
      </c>
      <c r="E12" s="62" t="s">
        <v>50</v>
      </c>
      <c r="F12" s="67" t="s">
        <v>62</v>
      </c>
      <c r="G12" s="67"/>
      <c r="H12" s="67"/>
      <c r="I12" s="67"/>
      <c r="J12" s="67"/>
      <c r="K12" s="67"/>
      <c r="L12" s="67"/>
      <c r="M12" s="67"/>
      <c r="N12" s="67"/>
    </row>
    <row r="13" spans="3:14" s="16" customFormat="1" ht="25.5">
      <c r="C13" s="61"/>
      <c r="D13" s="63"/>
      <c r="E13" s="63"/>
      <c r="F13" s="50" t="s">
        <v>71</v>
      </c>
      <c r="G13" s="50" t="s">
        <v>72</v>
      </c>
      <c r="H13" s="50" t="s">
        <v>63</v>
      </c>
      <c r="I13" s="51" t="s">
        <v>71</v>
      </c>
      <c r="J13" s="51" t="s">
        <v>72</v>
      </c>
      <c r="K13" s="51" t="s">
        <v>64</v>
      </c>
      <c r="L13" s="51" t="s">
        <v>71</v>
      </c>
      <c r="M13" s="51" t="s">
        <v>72</v>
      </c>
      <c r="N13" s="51" t="s">
        <v>65</v>
      </c>
    </row>
    <row r="14" spans="3:14" s="11" customFormat="1" ht="10.9" customHeight="1">
      <c r="C14" s="10">
        <v>1</v>
      </c>
      <c r="D14" s="10">
        <v>2</v>
      </c>
      <c r="E14" s="10">
        <v>3</v>
      </c>
      <c r="F14" s="10">
        <v>4</v>
      </c>
      <c r="G14" s="10">
        <v>5</v>
      </c>
      <c r="H14" s="10">
        <v>4</v>
      </c>
      <c r="I14" s="10">
        <v>7</v>
      </c>
      <c r="J14" s="10">
        <v>8</v>
      </c>
      <c r="K14" s="10">
        <v>5</v>
      </c>
      <c r="L14" s="10">
        <v>10</v>
      </c>
      <c r="M14" s="15">
        <v>11</v>
      </c>
      <c r="N14" s="15">
        <v>6</v>
      </c>
    </row>
    <row r="15" spans="3:14" ht="19.5" customHeight="1">
      <c r="C15" s="19" t="s">
        <v>30</v>
      </c>
      <c r="D15" s="36" t="s">
        <v>1</v>
      </c>
      <c r="E15" s="36"/>
      <c r="F15" s="37">
        <f>SUM(F16:F23)</f>
        <v>63298252.219999999</v>
      </c>
      <c r="G15" s="37">
        <f t="shared" ref="G15:N15" si="0">SUM(G16:G23)</f>
        <v>739907.37</v>
      </c>
      <c r="H15" s="37">
        <f t="shared" si="0"/>
        <v>64038159.589999996</v>
      </c>
      <c r="I15" s="37">
        <f t="shared" si="0"/>
        <v>81157241.480000004</v>
      </c>
      <c r="J15" s="37">
        <f t="shared" si="0"/>
        <v>0</v>
      </c>
      <c r="K15" s="37">
        <f t="shared" si="0"/>
        <v>81157241.480000004</v>
      </c>
      <c r="L15" s="37">
        <f t="shared" si="0"/>
        <v>88240478.349999994</v>
      </c>
      <c r="M15" s="37">
        <f t="shared" si="0"/>
        <v>0</v>
      </c>
      <c r="N15" s="37">
        <f t="shared" si="0"/>
        <v>88240478.349999994</v>
      </c>
    </row>
    <row r="16" spans="3:14" ht="25.5">
      <c r="C16" s="20" t="s">
        <v>29</v>
      </c>
      <c r="D16" s="38" t="s">
        <v>1</v>
      </c>
      <c r="E16" s="38" t="s">
        <v>2</v>
      </c>
      <c r="F16" s="39">
        <v>1773740</v>
      </c>
      <c r="G16" s="39">
        <f>-180000</f>
        <v>-180000</v>
      </c>
      <c r="H16" s="39">
        <f>F16+G16</f>
        <v>1593740</v>
      </c>
      <c r="I16" s="39">
        <f>2130403</f>
        <v>2130403</v>
      </c>
      <c r="J16" s="39"/>
      <c r="K16" s="39">
        <f>I16+J16</f>
        <v>2130403</v>
      </c>
      <c r="L16" s="39">
        <f>2213273</f>
        <v>2213273</v>
      </c>
      <c r="M16" s="39"/>
      <c r="N16" s="39">
        <f>L16+M16</f>
        <v>2213273</v>
      </c>
    </row>
    <row r="17" spans="3:14" ht="38.25">
      <c r="C17" s="20" t="s">
        <v>26</v>
      </c>
      <c r="D17" s="38" t="s">
        <v>1</v>
      </c>
      <c r="E17" s="38" t="s">
        <v>3</v>
      </c>
      <c r="F17" s="39">
        <f>1345500</f>
        <v>1345500</v>
      </c>
      <c r="G17" s="39"/>
      <c r="H17" s="39">
        <f t="shared" ref="H17:H57" si="1">F17+G17</f>
        <v>1345500</v>
      </c>
      <c r="I17" s="39">
        <f>1386500</f>
        <v>1386500</v>
      </c>
      <c r="J17" s="39"/>
      <c r="K17" s="39">
        <f t="shared" ref="K17:K23" si="2">I17+J17</f>
        <v>1386500</v>
      </c>
      <c r="L17" s="39">
        <f>1429150</f>
        <v>1429150</v>
      </c>
      <c r="M17" s="39"/>
      <c r="N17" s="39">
        <f t="shared" ref="N17:N23" si="3">L17+M17</f>
        <v>1429150</v>
      </c>
    </row>
    <row r="18" spans="3:14" ht="38.25">
      <c r="C18" s="20" t="s">
        <v>37</v>
      </c>
      <c r="D18" s="38" t="s">
        <v>1</v>
      </c>
      <c r="E18" s="38" t="s">
        <v>10</v>
      </c>
      <c r="F18" s="39">
        <v>28903339.52</v>
      </c>
      <c r="G18" s="39">
        <f>214210</f>
        <v>214210</v>
      </c>
      <c r="H18" s="39">
        <f t="shared" si="1"/>
        <v>29117549.52</v>
      </c>
      <c r="I18" s="39">
        <f>29282321.82+612500</f>
        <v>29894821.82</v>
      </c>
      <c r="J18" s="39"/>
      <c r="K18" s="39">
        <f t="shared" si="2"/>
        <v>29894821.82</v>
      </c>
      <c r="L18" s="39">
        <f>30375124.93+612500</f>
        <v>30987624.93</v>
      </c>
      <c r="M18" s="39"/>
      <c r="N18" s="39">
        <f t="shared" si="3"/>
        <v>30987624.93</v>
      </c>
    </row>
    <row r="19" spans="3:14" ht="12.75">
      <c r="C19" s="20" t="s">
        <v>56</v>
      </c>
      <c r="D19" s="38" t="s">
        <v>1</v>
      </c>
      <c r="E19" s="38" t="s">
        <v>4</v>
      </c>
      <c r="F19" s="39">
        <v>73676.38</v>
      </c>
      <c r="G19" s="39"/>
      <c r="H19" s="39">
        <f t="shared" si="1"/>
        <v>73676.38</v>
      </c>
      <c r="I19" s="39">
        <v>2902.02</v>
      </c>
      <c r="J19" s="39"/>
      <c r="K19" s="39">
        <f t="shared" si="2"/>
        <v>2902.02</v>
      </c>
      <c r="L19" s="39">
        <v>2586.8000000000002</v>
      </c>
      <c r="M19" s="39"/>
      <c r="N19" s="39">
        <f t="shared" si="3"/>
        <v>2586.8000000000002</v>
      </c>
    </row>
    <row r="20" spans="3:14" ht="16.5" customHeight="1">
      <c r="C20" s="20" t="s">
        <v>27</v>
      </c>
      <c r="D20" s="38" t="s">
        <v>1</v>
      </c>
      <c r="E20" s="38" t="s">
        <v>11</v>
      </c>
      <c r="F20" s="39">
        <v>9991934.0800000001</v>
      </c>
      <c r="G20" s="39"/>
      <c r="H20" s="39">
        <f t="shared" si="1"/>
        <v>9991934.0800000001</v>
      </c>
      <c r="I20" s="39">
        <f>1904270+7997790</f>
        <v>9902060</v>
      </c>
      <c r="J20" s="39"/>
      <c r="K20" s="39">
        <f t="shared" si="2"/>
        <v>9902060</v>
      </c>
      <c r="L20" s="39">
        <f>1978261+8287725.36</f>
        <v>10265986.359999999</v>
      </c>
      <c r="M20" s="39"/>
      <c r="N20" s="39">
        <f t="shared" si="3"/>
        <v>10265986.359999999</v>
      </c>
    </row>
    <row r="21" spans="3:14" ht="12.75" hidden="1">
      <c r="C21" s="20" t="s">
        <v>57</v>
      </c>
      <c r="D21" s="38" t="s">
        <v>1</v>
      </c>
      <c r="E21" s="38" t="s">
        <v>5</v>
      </c>
      <c r="F21" s="39"/>
      <c r="G21" s="39"/>
      <c r="H21" s="39">
        <f t="shared" si="1"/>
        <v>0</v>
      </c>
      <c r="I21" s="39"/>
      <c r="J21" s="39"/>
      <c r="K21" s="39">
        <f t="shared" si="2"/>
        <v>0</v>
      </c>
      <c r="L21" s="39"/>
      <c r="M21" s="39"/>
      <c r="N21" s="39">
        <f t="shared" si="3"/>
        <v>0</v>
      </c>
    </row>
    <row r="22" spans="3:14" ht="12.75">
      <c r="C22" s="20" t="s">
        <v>7</v>
      </c>
      <c r="D22" s="38" t="s">
        <v>1</v>
      </c>
      <c r="E22" s="38" t="s">
        <v>19</v>
      </c>
      <c r="F22" s="39">
        <v>50000</v>
      </c>
      <c r="G22" s="39">
        <f>-4600</f>
        <v>-4600</v>
      </c>
      <c r="H22" s="39">
        <f t="shared" si="1"/>
        <v>45400</v>
      </c>
      <c r="I22" s="39">
        <v>0</v>
      </c>
      <c r="J22" s="39"/>
      <c r="K22" s="39">
        <f t="shared" si="2"/>
        <v>0</v>
      </c>
      <c r="L22" s="39">
        <v>0</v>
      </c>
      <c r="M22" s="39"/>
      <c r="N22" s="39">
        <f t="shared" si="3"/>
        <v>0</v>
      </c>
    </row>
    <row r="23" spans="3:14" ht="12.75">
      <c r="C23" s="21" t="s">
        <v>21</v>
      </c>
      <c r="D23" s="38" t="s">
        <v>1</v>
      </c>
      <c r="E23" s="38" t="s">
        <v>43</v>
      </c>
      <c r="F23" s="39">
        <v>21160062.239999998</v>
      </c>
      <c r="G23" s="39">
        <f>500354.88+142247.86+67694.63</f>
        <v>710297.37</v>
      </c>
      <c r="H23" s="39">
        <f t="shared" si="1"/>
        <v>21870359.609999999</v>
      </c>
      <c r="I23" s="39">
        <v>37840554.640000001</v>
      </c>
      <c r="J23" s="39"/>
      <c r="K23" s="39">
        <f t="shared" si="2"/>
        <v>37840554.640000001</v>
      </c>
      <c r="L23" s="39">
        <v>43341857.259999998</v>
      </c>
      <c r="M23" s="39"/>
      <c r="N23" s="39">
        <f t="shared" si="3"/>
        <v>43341857.259999998</v>
      </c>
    </row>
    <row r="24" spans="3:14" ht="15" customHeight="1">
      <c r="C24" s="22" t="s">
        <v>44</v>
      </c>
      <c r="D24" s="40" t="s">
        <v>2</v>
      </c>
      <c r="E24" s="40"/>
      <c r="F24" s="37">
        <f>F25</f>
        <v>789584.76</v>
      </c>
      <c r="G24" s="37">
        <f t="shared" ref="G24:N24" si="4">G25</f>
        <v>0</v>
      </c>
      <c r="H24" s="37">
        <f t="shared" si="4"/>
        <v>789584.76</v>
      </c>
      <c r="I24" s="37">
        <f t="shared" si="4"/>
        <v>782880.24</v>
      </c>
      <c r="J24" s="37">
        <f t="shared" si="4"/>
        <v>0</v>
      </c>
      <c r="K24" s="37">
        <f t="shared" si="4"/>
        <v>782880.24</v>
      </c>
      <c r="L24" s="37">
        <f t="shared" si="4"/>
        <v>810991.56</v>
      </c>
      <c r="M24" s="37">
        <f t="shared" si="4"/>
        <v>0</v>
      </c>
      <c r="N24" s="37">
        <f t="shared" si="4"/>
        <v>810991.56</v>
      </c>
    </row>
    <row r="25" spans="3:14" ht="14.25" customHeight="1">
      <c r="C25" s="23" t="s">
        <v>40</v>
      </c>
      <c r="D25" s="41" t="s">
        <v>2</v>
      </c>
      <c r="E25" s="41" t="s">
        <v>3</v>
      </c>
      <c r="F25" s="39">
        <v>789584.76</v>
      </c>
      <c r="G25" s="39"/>
      <c r="H25" s="39">
        <f t="shared" si="1"/>
        <v>789584.76</v>
      </c>
      <c r="I25" s="39">
        <v>782880.24</v>
      </c>
      <c r="J25" s="39"/>
      <c r="K25" s="39">
        <f t="shared" ref="K25" si="5">I25+J25</f>
        <v>782880.24</v>
      </c>
      <c r="L25" s="39">
        <v>810991.56</v>
      </c>
      <c r="M25" s="39"/>
      <c r="N25" s="39">
        <f t="shared" ref="N25" si="6">L25+M25</f>
        <v>810991.56</v>
      </c>
    </row>
    <row r="26" spans="3:14" ht="27.75" customHeight="1">
      <c r="C26" s="24" t="s">
        <v>31</v>
      </c>
      <c r="D26" s="36" t="s">
        <v>3</v>
      </c>
      <c r="E26" s="36"/>
      <c r="F26" s="37">
        <f>F27</f>
        <v>135000</v>
      </c>
      <c r="G26" s="37">
        <f t="shared" ref="G26:N26" si="7">G27</f>
        <v>-35000</v>
      </c>
      <c r="H26" s="37">
        <f t="shared" si="7"/>
        <v>100000</v>
      </c>
      <c r="I26" s="37">
        <f t="shared" si="7"/>
        <v>100000</v>
      </c>
      <c r="J26" s="37">
        <f t="shared" si="7"/>
        <v>0</v>
      </c>
      <c r="K26" s="37">
        <f t="shared" si="7"/>
        <v>100000</v>
      </c>
      <c r="L26" s="37">
        <f t="shared" si="7"/>
        <v>100000</v>
      </c>
      <c r="M26" s="37">
        <f t="shared" si="7"/>
        <v>0</v>
      </c>
      <c r="N26" s="37">
        <f t="shared" si="7"/>
        <v>100000</v>
      </c>
    </row>
    <row r="27" spans="3:14" s="6" customFormat="1" ht="25.5">
      <c r="C27" s="25" t="s">
        <v>61</v>
      </c>
      <c r="D27" s="41" t="s">
        <v>3</v>
      </c>
      <c r="E27" s="41" t="s">
        <v>9</v>
      </c>
      <c r="F27" s="39">
        <v>135000</v>
      </c>
      <c r="G27" s="39">
        <f>-35000</f>
        <v>-35000</v>
      </c>
      <c r="H27" s="39">
        <f t="shared" si="1"/>
        <v>100000</v>
      </c>
      <c r="I27" s="39">
        <f>100000</f>
        <v>100000</v>
      </c>
      <c r="J27" s="39"/>
      <c r="K27" s="39">
        <f t="shared" ref="K27" si="8">I27+J27</f>
        <v>100000</v>
      </c>
      <c r="L27" s="39">
        <v>100000</v>
      </c>
      <c r="M27" s="39"/>
      <c r="N27" s="39">
        <f t="shared" ref="N27" si="9">L27+M27</f>
        <v>100000</v>
      </c>
    </row>
    <row r="28" spans="3:14" ht="12.75">
      <c r="C28" s="26" t="s">
        <v>32</v>
      </c>
      <c r="D28" s="42" t="s">
        <v>10</v>
      </c>
      <c r="E28" s="42"/>
      <c r="F28" s="37">
        <f>SUM(F29:F32)</f>
        <v>33448535.5</v>
      </c>
      <c r="G28" s="37">
        <f t="shared" ref="G28:N28" si="10">SUM(G29:G32)</f>
        <v>1377822.43</v>
      </c>
      <c r="H28" s="37">
        <f t="shared" si="10"/>
        <v>34826357.93</v>
      </c>
      <c r="I28" s="37">
        <f t="shared" si="10"/>
        <v>26655121</v>
      </c>
      <c r="J28" s="37">
        <f t="shared" si="10"/>
        <v>0</v>
      </c>
      <c r="K28" s="37">
        <f t="shared" si="10"/>
        <v>26655121</v>
      </c>
      <c r="L28" s="37">
        <f t="shared" si="10"/>
        <v>27229425</v>
      </c>
      <c r="M28" s="37">
        <f t="shared" si="10"/>
        <v>0</v>
      </c>
      <c r="N28" s="37">
        <f t="shared" si="10"/>
        <v>27229425</v>
      </c>
    </row>
    <row r="29" spans="3:14" ht="12.75">
      <c r="C29" s="27" t="s">
        <v>54</v>
      </c>
      <c r="D29" s="43" t="s">
        <v>10</v>
      </c>
      <c r="E29" s="43" t="s">
        <v>4</v>
      </c>
      <c r="F29" s="39">
        <v>224752.49</v>
      </c>
      <c r="G29" s="39"/>
      <c r="H29" s="39">
        <f t="shared" si="1"/>
        <v>224752.49</v>
      </c>
      <c r="I29" s="39">
        <f>260000</f>
        <v>260000</v>
      </c>
      <c r="J29" s="39"/>
      <c r="K29" s="39">
        <f t="shared" ref="K29:K32" si="11">I29+J29</f>
        <v>260000</v>
      </c>
      <c r="L29" s="39">
        <v>0</v>
      </c>
      <c r="M29" s="39"/>
      <c r="N29" s="39">
        <f t="shared" ref="N29:N32" si="12">L29+M29</f>
        <v>0</v>
      </c>
    </row>
    <row r="30" spans="3:14" ht="12.75">
      <c r="C30" s="23" t="s">
        <v>12</v>
      </c>
      <c r="D30" s="41" t="s">
        <v>10</v>
      </c>
      <c r="E30" s="41" t="s">
        <v>13</v>
      </c>
      <c r="F30" s="39">
        <v>9437948.0099999998</v>
      </c>
      <c r="G30" s="39"/>
      <c r="H30" s="39">
        <f t="shared" si="1"/>
        <v>9437948.0099999998</v>
      </c>
      <c r="I30" s="39">
        <f>2660000</f>
        <v>2660000</v>
      </c>
      <c r="J30" s="39"/>
      <c r="K30" s="39">
        <f t="shared" si="11"/>
        <v>2660000</v>
      </c>
      <c r="L30" s="39">
        <f>2660000</f>
        <v>2660000</v>
      </c>
      <c r="M30" s="39"/>
      <c r="N30" s="39">
        <f t="shared" si="12"/>
        <v>2660000</v>
      </c>
    </row>
    <row r="31" spans="3:14" ht="12.75">
      <c r="C31" s="23" t="s">
        <v>48</v>
      </c>
      <c r="D31" s="41" t="s">
        <v>10</v>
      </c>
      <c r="E31" s="41" t="s">
        <v>8</v>
      </c>
      <c r="F31" s="39">
        <v>22076638</v>
      </c>
      <c r="G31" s="39">
        <f>1359351.63</f>
        <v>1359351.63</v>
      </c>
      <c r="H31" s="39">
        <f t="shared" si="1"/>
        <v>23435989.629999999</v>
      </c>
      <c r="I31" s="39">
        <v>22878295</v>
      </c>
      <c r="J31" s="39"/>
      <c r="K31" s="39">
        <f t="shared" si="11"/>
        <v>22878295</v>
      </c>
      <c r="L31" s="39">
        <f>23714195</f>
        <v>23714195</v>
      </c>
      <c r="M31" s="39"/>
      <c r="N31" s="39">
        <f t="shared" si="12"/>
        <v>23714195</v>
      </c>
    </row>
    <row r="32" spans="3:14" ht="12.75">
      <c r="C32" s="28" t="s">
        <v>20</v>
      </c>
      <c r="D32" s="44" t="s">
        <v>10</v>
      </c>
      <c r="E32" s="44" t="s">
        <v>6</v>
      </c>
      <c r="F32" s="39">
        <v>1709197</v>
      </c>
      <c r="G32" s="39">
        <f>61988-43517.2</f>
        <v>18470.800000000003</v>
      </c>
      <c r="H32" s="39">
        <f t="shared" si="1"/>
        <v>1727667.8</v>
      </c>
      <c r="I32" s="39">
        <f>456826+400000</f>
        <v>856826</v>
      </c>
      <c r="J32" s="39"/>
      <c r="K32" s="39">
        <f t="shared" si="11"/>
        <v>856826</v>
      </c>
      <c r="L32" s="39">
        <f>455230+400000</f>
        <v>855230</v>
      </c>
      <c r="M32" s="39"/>
      <c r="N32" s="39">
        <f t="shared" si="12"/>
        <v>855230</v>
      </c>
    </row>
    <row r="33" spans="3:14" ht="17.25" customHeight="1">
      <c r="C33" s="29" t="s">
        <v>39</v>
      </c>
      <c r="D33" s="45" t="s">
        <v>4</v>
      </c>
      <c r="E33" s="45"/>
      <c r="F33" s="37">
        <f>F35+F34+F36</f>
        <v>212079331.59999999</v>
      </c>
      <c r="G33" s="37">
        <f>G35+G34+G36</f>
        <v>-298730.66000000003</v>
      </c>
      <c r="H33" s="37">
        <f>H35+H34+H36</f>
        <v>211780600.94</v>
      </c>
      <c r="I33" s="37">
        <f>I35+I34+I36</f>
        <v>6846666.6699999999</v>
      </c>
      <c r="J33" s="37">
        <f>J35+J34+J36</f>
        <v>0</v>
      </c>
      <c r="K33" s="37">
        <f t="shared" ref="K33:N33" si="13">K35+K34</f>
        <v>6846666.6699999999</v>
      </c>
      <c r="L33" s="37">
        <f>L35+L34+L36</f>
        <v>270078572.50999999</v>
      </c>
      <c r="M33" s="37">
        <f>M35+M34+M36</f>
        <v>0</v>
      </c>
      <c r="N33" s="37">
        <f t="shared" si="13"/>
        <v>270078572.50999999</v>
      </c>
    </row>
    <row r="34" spans="3:14" ht="12.75">
      <c r="C34" s="28" t="s">
        <v>55</v>
      </c>
      <c r="D34" s="44" t="s">
        <v>4</v>
      </c>
      <c r="E34" s="44" t="s">
        <v>1</v>
      </c>
      <c r="F34" s="39">
        <v>201788000</v>
      </c>
      <c r="G34" s="39">
        <f>-200000-90490.66</f>
        <v>-290490.66000000003</v>
      </c>
      <c r="H34" s="39">
        <f t="shared" si="1"/>
        <v>201497509.34</v>
      </c>
      <c r="I34" s="39">
        <v>3957000</v>
      </c>
      <c r="J34" s="39"/>
      <c r="K34" s="39">
        <f t="shared" ref="K34:K36" si="14">I34+J34</f>
        <v>3957000</v>
      </c>
      <c r="L34" s="39">
        <v>268005572.50999999</v>
      </c>
      <c r="M34" s="39"/>
      <c r="N34" s="39">
        <f t="shared" ref="N34:N36" si="15">L34+M34</f>
        <v>268005572.50999999</v>
      </c>
    </row>
    <row r="35" spans="3:14" ht="12.75">
      <c r="C35" s="28" t="s">
        <v>41</v>
      </c>
      <c r="D35" s="44" t="s">
        <v>4</v>
      </c>
      <c r="E35" s="44" t="s">
        <v>2</v>
      </c>
      <c r="F35" s="39">
        <v>10248771.6</v>
      </c>
      <c r="G35" s="39">
        <f>-8240</f>
        <v>-8240</v>
      </c>
      <c r="H35" s="39">
        <f t="shared" si="1"/>
        <v>10240531.6</v>
      </c>
      <c r="I35" s="39">
        <v>2889666.67</v>
      </c>
      <c r="J35" s="39"/>
      <c r="K35" s="39">
        <f t="shared" si="14"/>
        <v>2889666.67</v>
      </c>
      <c r="L35" s="39">
        <f>1573000+500000</f>
        <v>2073000</v>
      </c>
      <c r="M35" s="39"/>
      <c r="N35" s="39">
        <f t="shared" si="15"/>
        <v>2073000</v>
      </c>
    </row>
    <row r="36" spans="3:14" ht="12.75">
      <c r="C36" s="28" t="s">
        <v>73</v>
      </c>
      <c r="D36" s="44" t="s">
        <v>4</v>
      </c>
      <c r="E36" s="44" t="s">
        <v>3</v>
      </c>
      <c r="F36" s="39">
        <v>42560</v>
      </c>
      <c r="G36" s="39"/>
      <c r="H36" s="39">
        <f t="shared" si="1"/>
        <v>42560</v>
      </c>
      <c r="I36" s="39"/>
      <c r="J36" s="39"/>
      <c r="K36" s="39">
        <f t="shared" si="14"/>
        <v>0</v>
      </c>
      <c r="L36" s="39"/>
      <c r="M36" s="39"/>
      <c r="N36" s="39">
        <f t="shared" si="15"/>
        <v>0</v>
      </c>
    </row>
    <row r="37" spans="3:14" s="7" customFormat="1" ht="12.75">
      <c r="C37" s="29" t="s">
        <v>52</v>
      </c>
      <c r="D37" s="45" t="s">
        <v>11</v>
      </c>
      <c r="E37" s="45"/>
      <c r="F37" s="37">
        <f>F38</f>
        <v>1920000</v>
      </c>
      <c r="G37" s="37">
        <f t="shared" ref="G37:N37" si="16">G38</f>
        <v>18000</v>
      </c>
      <c r="H37" s="37">
        <f t="shared" si="16"/>
        <v>1938000</v>
      </c>
      <c r="I37" s="37">
        <f t="shared" si="16"/>
        <v>2170000</v>
      </c>
      <c r="J37" s="37">
        <f t="shared" si="16"/>
        <v>0</v>
      </c>
      <c r="K37" s="37">
        <f t="shared" si="16"/>
        <v>2170000</v>
      </c>
      <c r="L37" s="37">
        <f t="shared" si="16"/>
        <v>1170000</v>
      </c>
      <c r="M37" s="37">
        <f t="shared" si="16"/>
        <v>0</v>
      </c>
      <c r="N37" s="37">
        <f t="shared" si="16"/>
        <v>1170000</v>
      </c>
    </row>
    <row r="38" spans="3:14" ht="12.75">
      <c r="C38" s="28" t="s">
        <v>53</v>
      </c>
      <c r="D38" s="44" t="s">
        <v>11</v>
      </c>
      <c r="E38" s="44" t="s">
        <v>4</v>
      </c>
      <c r="F38" s="39">
        <v>1920000</v>
      </c>
      <c r="G38" s="39">
        <f>18000</f>
        <v>18000</v>
      </c>
      <c r="H38" s="39">
        <f t="shared" si="1"/>
        <v>1938000</v>
      </c>
      <c r="I38" s="39">
        <v>2170000</v>
      </c>
      <c r="J38" s="39"/>
      <c r="K38" s="39">
        <f t="shared" ref="K38" si="17">I38+J38</f>
        <v>2170000</v>
      </c>
      <c r="L38" s="39">
        <v>1170000</v>
      </c>
      <c r="M38" s="39"/>
      <c r="N38" s="39">
        <f t="shared" ref="N38" si="18">L38+M38</f>
        <v>1170000</v>
      </c>
    </row>
    <row r="39" spans="3:14" ht="17.25" customHeight="1">
      <c r="C39" s="22" t="s">
        <v>33</v>
      </c>
      <c r="D39" s="40" t="s">
        <v>5</v>
      </c>
      <c r="E39" s="40"/>
      <c r="F39" s="37">
        <f>SUM(F40:F44)</f>
        <v>676853091.70999992</v>
      </c>
      <c r="G39" s="37">
        <f t="shared" ref="G39:N39" si="19">SUM(G40:G44)</f>
        <v>9560871.4699999951</v>
      </c>
      <c r="H39" s="37">
        <f t="shared" si="19"/>
        <v>686413963.18000007</v>
      </c>
      <c r="I39" s="37">
        <f t="shared" si="19"/>
        <v>471330996.13</v>
      </c>
      <c r="J39" s="37">
        <f t="shared" si="19"/>
        <v>0</v>
      </c>
      <c r="K39" s="37">
        <f t="shared" si="19"/>
        <v>471330996.13</v>
      </c>
      <c r="L39" s="37">
        <f t="shared" si="19"/>
        <v>486495530</v>
      </c>
      <c r="M39" s="37">
        <f t="shared" si="19"/>
        <v>0</v>
      </c>
      <c r="N39" s="37">
        <f t="shared" si="19"/>
        <v>486495530</v>
      </c>
    </row>
    <row r="40" spans="3:14" ht="12.75">
      <c r="C40" s="23" t="s">
        <v>17</v>
      </c>
      <c r="D40" s="41" t="s">
        <v>5</v>
      </c>
      <c r="E40" s="41" t="s">
        <v>1</v>
      </c>
      <c r="F40" s="39">
        <v>279081067.41000003</v>
      </c>
      <c r="G40" s="39">
        <f>3906250.75</f>
        <v>3906250.75</v>
      </c>
      <c r="H40" s="39">
        <f t="shared" si="1"/>
        <v>282987318.16000003</v>
      </c>
      <c r="I40" s="39">
        <v>127323653</v>
      </c>
      <c r="J40" s="39"/>
      <c r="K40" s="39">
        <f t="shared" ref="K40:K44" si="20">I40+J40</f>
        <v>127323653</v>
      </c>
      <c r="L40" s="39">
        <v>126946637</v>
      </c>
      <c r="M40" s="39"/>
      <c r="N40" s="39">
        <f t="shared" ref="N40:N44" si="21">L40+M40</f>
        <v>126946637</v>
      </c>
    </row>
    <row r="41" spans="3:14" ht="12.75">
      <c r="C41" s="28" t="s">
        <v>14</v>
      </c>
      <c r="D41" s="44" t="s">
        <v>5</v>
      </c>
      <c r="E41" s="44" t="s">
        <v>2</v>
      </c>
      <c r="F41" s="39">
        <v>350425755.86000001</v>
      </c>
      <c r="G41" s="39">
        <f>14083995.58</f>
        <v>14083995.58</v>
      </c>
      <c r="H41" s="39">
        <f t="shared" si="1"/>
        <v>364509751.44</v>
      </c>
      <c r="I41" s="39">
        <v>292871059</v>
      </c>
      <c r="J41" s="39"/>
      <c r="K41" s="39">
        <f t="shared" si="20"/>
        <v>292871059</v>
      </c>
      <c r="L41" s="39">
        <v>307484533</v>
      </c>
      <c r="M41" s="39"/>
      <c r="N41" s="39">
        <f t="shared" si="21"/>
        <v>307484533</v>
      </c>
    </row>
    <row r="42" spans="3:14" ht="12.75">
      <c r="C42" s="28" t="s">
        <v>59</v>
      </c>
      <c r="D42" s="44" t="s">
        <v>5</v>
      </c>
      <c r="E42" s="44" t="s">
        <v>3</v>
      </c>
      <c r="F42" s="39">
        <v>28082634.02</v>
      </c>
      <c r="G42" s="39">
        <f>753105.63</f>
        <v>753105.63</v>
      </c>
      <c r="H42" s="39">
        <f t="shared" si="1"/>
        <v>28835739.649999999</v>
      </c>
      <c r="I42" s="39">
        <f>12326780+14768354</f>
        <v>27095134</v>
      </c>
      <c r="J42" s="39"/>
      <c r="K42" s="39">
        <f t="shared" si="20"/>
        <v>27095134</v>
      </c>
      <c r="L42" s="39">
        <f>12232700+16054495</f>
        <v>28287195</v>
      </c>
      <c r="M42" s="39"/>
      <c r="N42" s="39">
        <f t="shared" si="21"/>
        <v>28287195</v>
      </c>
    </row>
    <row r="43" spans="3:14" ht="12.75">
      <c r="C43" s="28" t="s">
        <v>18</v>
      </c>
      <c r="D43" s="44" t="s">
        <v>5</v>
      </c>
      <c r="E43" s="44" t="s">
        <v>5</v>
      </c>
      <c r="F43" s="39">
        <v>2149901.63</v>
      </c>
      <c r="G43" s="39">
        <f>668.08</f>
        <v>668.08</v>
      </c>
      <c r="H43" s="39">
        <f t="shared" si="1"/>
        <v>2150569.71</v>
      </c>
      <c r="I43" s="39">
        <f>300000+1571514.63</f>
        <v>1871514.63</v>
      </c>
      <c r="J43" s="39"/>
      <c r="K43" s="39">
        <f t="shared" si="20"/>
        <v>1871514.63</v>
      </c>
      <c r="L43" s="39">
        <f>300000+1571514.63</f>
        <v>1871514.63</v>
      </c>
      <c r="M43" s="39"/>
      <c r="N43" s="39">
        <f t="shared" si="21"/>
        <v>1871514.63</v>
      </c>
    </row>
    <row r="44" spans="3:14" ht="12.75">
      <c r="C44" s="28" t="s">
        <v>15</v>
      </c>
      <c r="D44" s="44" t="s">
        <v>5</v>
      </c>
      <c r="E44" s="44" t="s">
        <v>8</v>
      </c>
      <c r="F44" s="39">
        <v>17113732.789999999</v>
      </c>
      <c r="G44" s="39">
        <f>-9183148.57</f>
        <v>-9183148.5700000003</v>
      </c>
      <c r="H44" s="39">
        <f t="shared" si="1"/>
        <v>7930584.2199999988</v>
      </c>
      <c r="I44" s="39">
        <v>22169635.5</v>
      </c>
      <c r="J44" s="39"/>
      <c r="K44" s="39">
        <f t="shared" si="20"/>
        <v>22169635.5</v>
      </c>
      <c r="L44" s="39">
        <v>21905650.370000001</v>
      </c>
      <c r="M44" s="39"/>
      <c r="N44" s="39">
        <f t="shared" si="21"/>
        <v>21905650.370000001</v>
      </c>
    </row>
    <row r="45" spans="3:14" ht="17.25" customHeight="1">
      <c r="C45" s="29" t="s">
        <v>60</v>
      </c>
      <c r="D45" s="45" t="s">
        <v>13</v>
      </c>
      <c r="E45" s="45"/>
      <c r="F45" s="37">
        <f>F46</f>
        <v>104806888.83</v>
      </c>
      <c r="G45" s="37">
        <f t="shared" ref="G45:N45" si="22">G46</f>
        <v>3762279.57</v>
      </c>
      <c r="H45" s="37">
        <f t="shared" si="22"/>
        <v>108569168.39999999</v>
      </c>
      <c r="I45" s="37">
        <f t="shared" si="22"/>
        <v>91901003.629999995</v>
      </c>
      <c r="J45" s="37">
        <f t="shared" si="22"/>
        <v>0</v>
      </c>
      <c r="K45" s="37">
        <f t="shared" si="22"/>
        <v>91901003.629999995</v>
      </c>
      <c r="L45" s="37">
        <f t="shared" si="22"/>
        <v>91164209.629999995</v>
      </c>
      <c r="M45" s="37">
        <f t="shared" si="22"/>
        <v>0</v>
      </c>
      <c r="N45" s="37">
        <f t="shared" si="22"/>
        <v>91164209.629999995</v>
      </c>
    </row>
    <row r="46" spans="3:14" ht="12.75">
      <c r="C46" s="28" t="s">
        <v>16</v>
      </c>
      <c r="D46" s="44" t="s">
        <v>13</v>
      </c>
      <c r="E46" s="44" t="s">
        <v>1</v>
      </c>
      <c r="F46" s="39">
        <v>104806888.83</v>
      </c>
      <c r="G46" s="39">
        <f>3762279.57</f>
        <v>3762279.57</v>
      </c>
      <c r="H46" s="39">
        <f t="shared" si="1"/>
        <v>108569168.39999999</v>
      </c>
      <c r="I46" s="39">
        <f>91901003.63</f>
        <v>91901003.629999995</v>
      </c>
      <c r="J46" s="39"/>
      <c r="K46" s="39">
        <f t="shared" ref="K46" si="23">I46+J46</f>
        <v>91901003.629999995</v>
      </c>
      <c r="L46" s="39">
        <f>91164209.63</f>
        <v>91164209.629999995</v>
      </c>
      <c r="M46" s="39"/>
      <c r="N46" s="39">
        <f t="shared" ref="N46" si="24">L46+M46</f>
        <v>91164209.629999995</v>
      </c>
    </row>
    <row r="47" spans="3:14" ht="12.75">
      <c r="C47" s="24" t="s">
        <v>34</v>
      </c>
      <c r="D47" s="36" t="s">
        <v>9</v>
      </c>
      <c r="E47" s="46"/>
      <c r="F47" s="37">
        <f>SUM(F48:F51)</f>
        <v>120618643.10999998</v>
      </c>
      <c r="G47" s="37">
        <f t="shared" ref="G47:N47" si="25">SUM(G48:G51)</f>
        <v>-10104.85999999987</v>
      </c>
      <c r="H47" s="37">
        <f t="shared" si="25"/>
        <v>120608538.25</v>
      </c>
      <c r="I47" s="37">
        <f t="shared" si="25"/>
        <v>17432930.170000002</v>
      </c>
      <c r="J47" s="37">
        <f t="shared" si="25"/>
        <v>0</v>
      </c>
      <c r="K47" s="37">
        <f t="shared" si="25"/>
        <v>17432930.170000002</v>
      </c>
      <c r="L47" s="37">
        <f t="shared" si="25"/>
        <v>17710661.260000002</v>
      </c>
      <c r="M47" s="37">
        <f t="shared" si="25"/>
        <v>0</v>
      </c>
      <c r="N47" s="37">
        <f t="shared" si="25"/>
        <v>17710661.260000002</v>
      </c>
    </row>
    <row r="48" spans="3:14" ht="12.75">
      <c r="C48" s="30" t="s">
        <v>22</v>
      </c>
      <c r="D48" s="38" t="s">
        <v>9</v>
      </c>
      <c r="E48" s="38" t="s">
        <v>1</v>
      </c>
      <c r="F48" s="39">
        <v>767178.1</v>
      </c>
      <c r="G48" s="39">
        <f>-100161.2</f>
        <v>-100161.2</v>
      </c>
      <c r="H48" s="39">
        <f t="shared" si="1"/>
        <v>667016.9</v>
      </c>
      <c r="I48" s="39">
        <f>1006000</f>
        <v>1006000</v>
      </c>
      <c r="J48" s="39"/>
      <c r="K48" s="39">
        <f t="shared" ref="K48:K51" si="26">I48+J48</f>
        <v>1006000</v>
      </c>
      <c r="L48" s="39">
        <f>1131000</f>
        <v>1131000</v>
      </c>
      <c r="M48" s="39"/>
      <c r="N48" s="39">
        <f t="shared" ref="N48:N51" si="27">L48+M48</f>
        <v>1131000</v>
      </c>
    </row>
    <row r="49" spans="2:14" s="6" customFormat="1" ht="12.75">
      <c r="C49" s="28" t="s">
        <v>25</v>
      </c>
      <c r="D49" s="47" t="s">
        <v>9</v>
      </c>
      <c r="E49" s="47" t="s">
        <v>3</v>
      </c>
      <c r="F49" s="39">
        <v>101775306.34999999</v>
      </c>
      <c r="G49" s="39">
        <f>-543461.69</f>
        <v>-543461.68999999994</v>
      </c>
      <c r="H49" s="39">
        <f t="shared" si="1"/>
        <v>101231844.66</v>
      </c>
      <c r="I49" s="39">
        <v>246000</v>
      </c>
      <c r="J49" s="39"/>
      <c r="K49" s="39">
        <f t="shared" si="26"/>
        <v>246000</v>
      </c>
      <c r="L49" s="39">
        <v>246000</v>
      </c>
      <c r="M49" s="39"/>
      <c r="N49" s="39">
        <f t="shared" si="27"/>
        <v>246000</v>
      </c>
    </row>
    <row r="50" spans="2:14" ht="12.75">
      <c r="C50" s="23" t="s">
        <v>35</v>
      </c>
      <c r="D50" s="44" t="s">
        <v>9</v>
      </c>
      <c r="E50" s="44" t="s">
        <v>10</v>
      </c>
      <c r="F50" s="39">
        <v>15334670.17</v>
      </c>
      <c r="G50" s="39">
        <f>-256167.63+885085.66</f>
        <v>628918.03</v>
      </c>
      <c r="H50" s="39">
        <f t="shared" si="1"/>
        <v>15963588.199999999</v>
      </c>
      <c r="I50" s="39">
        <v>13342382.140000001</v>
      </c>
      <c r="J50" s="39"/>
      <c r="K50" s="39">
        <f t="shared" si="26"/>
        <v>13342382.140000001</v>
      </c>
      <c r="L50" s="39">
        <v>13400662.07</v>
      </c>
      <c r="M50" s="39"/>
      <c r="N50" s="39">
        <f t="shared" si="27"/>
        <v>13400662.07</v>
      </c>
    </row>
    <row r="51" spans="2:14" ht="12.75">
      <c r="C51" s="23" t="s">
        <v>47</v>
      </c>
      <c r="D51" s="44" t="s">
        <v>9</v>
      </c>
      <c r="E51" s="44" t="s">
        <v>11</v>
      </c>
      <c r="F51" s="39">
        <f>2741488.49</f>
        <v>2741488.49</v>
      </c>
      <c r="G51" s="39">
        <f>4600</f>
        <v>4600</v>
      </c>
      <c r="H51" s="39">
        <f t="shared" si="1"/>
        <v>2746088.49</v>
      </c>
      <c r="I51" s="39">
        <f>2838548.03</f>
        <v>2838548.03</v>
      </c>
      <c r="J51" s="39"/>
      <c r="K51" s="39">
        <f t="shared" si="26"/>
        <v>2838548.03</v>
      </c>
      <c r="L51" s="39">
        <f>2932999.19</f>
        <v>2932999.19</v>
      </c>
      <c r="M51" s="39"/>
      <c r="N51" s="39">
        <f t="shared" si="27"/>
        <v>2932999.19</v>
      </c>
    </row>
    <row r="52" spans="2:14" ht="12.75">
      <c r="B52" s="8"/>
      <c r="C52" s="31" t="s">
        <v>45</v>
      </c>
      <c r="D52" s="36" t="s">
        <v>19</v>
      </c>
      <c r="E52" s="45"/>
      <c r="F52" s="37">
        <f>SUM(F53:F54)</f>
        <v>400000</v>
      </c>
      <c r="G52" s="37">
        <f t="shared" ref="G52:N52" si="28">SUM(G53:G54)</f>
        <v>0</v>
      </c>
      <c r="H52" s="37">
        <f t="shared" si="28"/>
        <v>400000</v>
      </c>
      <c r="I52" s="37">
        <f t="shared" si="28"/>
        <v>400000</v>
      </c>
      <c r="J52" s="37">
        <f t="shared" si="28"/>
        <v>0</v>
      </c>
      <c r="K52" s="37">
        <f t="shared" si="28"/>
        <v>400000</v>
      </c>
      <c r="L52" s="37">
        <f t="shared" si="28"/>
        <v>400000</v>
      </c>
      <c r="M52" s="37">
        <f t="shared" si="28"/>
        <v>0</v>
      </c>
      <c r="N52" s="37">
        <f t="shared" si="28"/>
        <v>400000</v>
      </c>
    </row>
    <row r="53" spans="2:14" ht="12.75">
      <c r="B53" s="8"/>
      <c r="C53" s="32" t="s">
        <v>58</v>
      </c>
      <c r="D53" s="38" t="s">
        <v>19</v>
      </c>
      <c r="E53" s="44" t="s">
        <v>1</v>
      </c>
      <c r="F53" s="39">
        <f>150000+200000</f>
        <v>350000</v>
      </c>
      <c r="G53" s="39"/>
      <c r="H53" s="39">
        <f t="shared" si="1"/>
        <v>350000</v>
      </c>
      <c r="I53" s="39">
        <f>150000+200000</f>
        <v>350000</v>
      </c>
      <c r="J53" s="39"/>
      <c r="K53" s="39">
        <f t="shared" ref="K53:K54" si="29">I53+J53</f>
        <v>350000</v>
      </c>
      <c r="L53" s="39">
        <f>150000+200000</f>
        <v>350000</v>
      </c>
      <c r="M53" s="39"/>
      <c r="N53" s="39">
        <f t="shared" ref="N53:N54" si="30">L53+M53</f>
        <v>350000</v>
      </c>
    </row>
    <row r="54" spans="2:14" ht="12.75">
      <c r="B54" s="8"/>
      <c r="C54" s="32" t="s">
        <v>42</v>
      </c>
      <c r="D54" s="38" t="s">
        <v>19</v>
      </c>
      <c r="E54" s="44" t="s">
        <v>2</v>
      </c>
      <c r="F54" s="39">
        <f>50000</f>
        <v>50000</v>
      </c>
      <c r="G54" s="39"/>
      <c r="H54" s="39">
        <f t="shared" si="1"/>
        <v>50000</v>
      </c>
      <c r="I54" s="39">
        <f>50000</f>
        <v>50000</v>
      </c>
      <c r="J54" s="39"/>
      <c r="K54" s="39">
        <f t="shared" si="29"/>
        <v>50000</v>
      </c>
      <c r="L54" s="39">
        <f>50000</f>
        <v>50000</v>
      </c>
      <c r="M54" s="39"/>
      <c r="N54" s="39">
        <f t="shared" si="30"/>
        <v>50000</v>
      </c>
    </row>
    <row r="55" spans="2:14" ht="38.25">
      <c r="B55" s="8"/>
      <c r="C55" s="33" t="s">
        <v>46</v>
      </c>
      <c r="D55" s="45" t="s">
        <v>28</v>
      </c>
      <c r="E55" s="45"/>
      <c r="F55" s="37">
        <f>SUM(F56:F57)</f>
        <v>29346099.93</v>
      </c>
      <c r="G55" s="37">
        <f t="shared" ref="G55:H55" si="31">SUM(G56:G57)</f>
        <v>0</v>
      </c>
      <c r="H55" s="37">
        <f t="shared" si="31"/>
        <v>29346099.93</v>
      </c>
      <c r="I55" s="37">
        <f>SUM(I56:I57)</f>
        <v>2677628.77</v>
      </c>
      <c r="J55" s="37">
        <f t="shared" ref="J55:K55" si="32">SUM(J56:J57)</f>
        <v>0</v>
      </c>
      <c r="K55" s="37">
        <f t="shared" si="32"/>
        <v>2677628.77</v>
      </c>
      <c r="L55" s="37">
        <f>SUM(L56:L57)</f>
        <v>2637874.4</v>
      </c>
      <c r="M55" s="37">
        <f t="shared" ref="M55:N55" si="33">SUM(M56:M57)</f>
        <v>0</v>
      </c>
      <c r="N55" s="37">
        <f t="shared" si="33"/>
        <v>2637874.4</v>
      </c>
    </row>
    <row r="56" spans="2:14" s="7" customFormat="1" ht="25.5">
      <c r="B56" s="9"/>
      <c r="C56" s="34" t="s">
        <v>38</v>
      </c>
      <c r="D56" s="48" t="s">
        <v>28</v>
      </c>
      <c r="E56" s="48" t="s">
        <v>1</v>
      </c>
      <c r="F56" s="49">
        <f>3488653.87</f>
        <v>3488653.87</v>
      </c>
      <c r="G56" s="49"/>
      <c r="H56" s="39">
        <f t="shared" si="1"/>
        <v>3488653.87</v>
      </c>
      <c r="I56" s="49">
        <f>2677628.77</f>
        <v>2677628.77</v>
      </c>
      <c r="J56" s="49"/>
      <c r="K56" s="39">
        <f t="shared" ref="K56:K57" si="34">I56+J56</f>
        <v>2677628.77</v>
      </c>
      <c r="L56" s="39">
        <f>2637874.4</f>
        <v>2637874.4</v>
      </c>
      <c r="M56" s="49"/>
      <c r="N56" s="39">
        <f t="shared" ref="N56:N57" si="35">L56+M56</f>
        <v>2637874.4</v>
      </c>
    </row>
    <row r="57" spans="2:14" s="7" customFormat="1" ht="12.75">
      <c r="B57" s="9"/>
      <c r="C57" s="28" t="s">
        <v>49</v>
      </c>
      <c r="D57" s="44" t="s">
        <v>28</v>
      </c>
      <c r="E57" s="44" t="s">
        <v>3</v>
      </c>
      <c r="F57" s="39">
        <v>25857446.059999999</v>
      </c>
      <c r="G57" s="39"/>
      <c r="H57" s="39">
        <f t="shared" si="1"/>
        <v>25857446.059999999</v>
      </c>
      <c r="I57" s="39">
        <v>0</v>
      </c>
      <c r="J57" s="39"/>
      <c r="K57" s="39">
        <f t="shared" si="34"/>
        <v>0</v>
      </c>
      <c r="L57" s="37">
        <v>0</v>
      </c>
      <c r="M57" s="39"/>
      <c r="N57" s="39">
        <f t="shared" si="35"/>
        <v>0</v>
      </c>
    </row>
    <row r="58" spans="2:14" s="7" customFormat="1" ht="12.75">
      <c r="B58" s="9"/>
      <c r="C58" s="35" t="s">
        <v>23</v>
      </c>
      <c r="D58" s="36"/>
      <c r="E58" s="38"/>
      <c r="F58" s="37">
        <f>F55+F52+F47+F45+F39+F33+F28+F26+F24+F15+F37</f>
        <v>1243695427.6599998</v>
      </c>
      <c r="G58" s="37">
        <f t="shared" ref="G58:H58" si="36">G55+G52+G47+G45+G39+G33+G28+G26+G24+G15+G37</f>
        <v>15115045.319999995</v>
      </c>
      <c r="H58" s="37">
        <f t="shared" si="36"/>
        <v>1258810472.98</v>
      </c>
      <c r="I58" s="37">
        <f>I55+I52+I47+I45+I39+I33+I28+I26+I24+I15+I37</f>
        <v>701454468.09000003</v>
      </c>
      <c r="J58" s="37">
        <f t="shared" ref="J58:K58" si="37">J55+J52+J47+J45+J39+J33+J28+J26+J24+J15+J37</f>
        <v>0</v>
      </c>
      <c r="K58" s="37">
        <f t="shared" si="37"/>
        <v>701454468.09000003</v>
      </c>
      <c r="L58" s="37">
        <f>L55+L52+L47+L45+L39+L33+L28+L26+L24+L15+L37</f>
        <v>986037742.70999992</v>
      </c>
      <c r="M58" s="37">
        <f t="shared" ref="M58:N58" si="38">M55+M52+M47+M45+M39+M33+M28+M26+M24+M15+M37</f>
        <v>0</v>
      </c>
      <c r="N58" s="37">
        <f t="shared" si="38"/>
        <v>986037742.70999992</v>
      </c>
    </row>
    <row r="59" spans="2:14">
      <c r="D59" s="3"/>
      <c r="E59" s="5"/>
      <c r="F59" s="13"/>
      <c r="G59" s="13"/>
      <c r="H59" s="13"/>
      <c r="I59" s="13"/>
      <c r="J59" s="13"/>
      <c r="K59" s="13"/>
      <c r="L59" s="13"/>
    </row>
    <row r="60" spans="2:14" ht="12.75">
      <c r="D60" s="3"/>
      <c r="E60" s="3"/>
      <c r="F60" s="17"/>
      <c r="G60" s="17"/>
      <c r="H60" s="17"/>
      <c r="I60" s="17"/>
      <c r="J60" s="17"/>
      <c r="K60" s="17"/>
      <c r="L60" s="17"/>
      <c r="M60" s="18"/>
      <c r="N60" s="18"/>
    </row>
    <row r="61" spans="2:14">
      <c r="D61" s="3"/>
      <c r="E61" s="3"/>
      <c r="F61" s="13"/>
      <c r="G61" s="13"/>
      <c r="H61" s="13"/>
      <c r="I61" s="13"/>
      <c r="J61" s="13"/>
      <c r="K61" s="13"/>
      <c r="L61" s="13"/>
    </row>
    <row r="62" spans="2:14">
      <c r="E62" s="3"/>
      <c r="F62" s="13"/>
      <c r="G62" s="13"/>
      <c r="H62" s="13"/>
      <c r="I62" s="13"/>
      <c r="J62" s="13"/>
      <c r="K62" s="13"/>
      <c r="L62" s="13"/>
    </row>
    <row r="63" spans="2:14">
      <c r="F63" s="13"/>
      <c r="G63" s="13"/>
      <c r="H63" s="13"/>
      <c r="I63" s="13"/>
      <c r="J63" s="13"/>
      <c r="K63" s="13"/>
      <c r="L63" s="13"/>
    </row>
    <row r="64" spans="2:14">
      <c r="F64" s="13"/>
      <c r="G64" s="13"/>
      <c r="H64" s="13"/>
      <c r="I64" s="13"/>
      <c r="J64" s="13"/>
      <c r="K64" s="13"/>
      <c r="L64" s="13"/>
    </row>
    <row r="65" spans="3:12">
      <c r="F65" s="13"/>
      <c r="G65" s="13"/>
      <c r="H65" s="13"/>
      <c r="I65" s="13"/>
      <c r="J65" s="13"/>
      <c r="K65" s="13"/>
      <c r="L65" s="13"/>
    </row>
    <row r="66" spans="3:12">
      <c r="C66" s="1" t="s">
        <v>24</v>
      </c>
      <c r="F66" s="13"/>
      <c r="G66" s="13"/>
      <c r="H66" s="13"/>
      <c r="I66" s="13"/>
      <c r="J66" s="13"/>
      <c r="K66" s="13"/>
      <c r="L66" s="13"/>
    </row>
    <row r="67" spans="3:12">
      <c r="F67" s="13"/>
      <c r="G67" s="13"/>
      <c r="H67" s="13"/>
      <c r="I67" s="13"/>
      <c r="J67" s="13"/>
      <c r="K67" s="13"/>
      <c r="L67" s="13"/>
    </row>
    <row r="68" spans="3:12">
      <c r="F68" s="13"/>
      <c r="G68" s="13"/>
      <c r="H68" s="13"/>
      <c r="I68" s="13"/>
      <c r="J68" s="13"/>
      <c r="K68" s="13"/>
      <c r="L68" s="13"/>
    </row>
    <row r="69" spans="3:12">
      <c r="F69" s="13"/>
      <c r="G69" s="13"/>
      <c r="H69" s="13"/>
      <c r="I69" s="13"/>
      <c r="J69" s="13"/>
      <c r="K69" s="13"/>
      <c r="L69" s="13"/>
    </row>
    <row r="70" spans="3:12">
      <c r="F70" s="13"/>
      <c r="G70" s="13"/>
      <c r="H70" s="13"/>
      <c r="I70" s="13"/>
      <c r="J70" s="13"/>
      <c r="K70" s="13"/>
      <c r="L70" s="13"/>
    </row>
    <row r="71" spans="3:12">
      <c r="F71" s="13"/>
      <c r="G71" s="13"/>
      <c r="H71" s="13"/>
      <c r="I71" s="13"/>
      <c r="J71" s="13"/>
      <c r="K71" s="13"/>
      <c r="L71" s="13"/>
    </row>
    <row r="72" spans="3:12">
      <c r="F72" s="13"/>
      <c r="G72" s="13"/>
      <c r="H72" s="13"/>
      <c r="I72" s="13"/>
      <c r="J72" s="13"/>
      <c r="K72" s="13"/>
      <c r="L72" s="13"/>
    </row>
    <row r="73" spans="3:12">
      <c r="F73" s="13"/>
      <c r="G73" s="13"/>
      <c r="H73" s="13"/>
      <c r="I73" s="13"/>
      <c r="J73" s="13"/>
      <c r="K73" s="13"/>
      <c r="L73" s="13"/>
    </row>
    <row r="74" spans="3:12">
      <c r="F74" s="13"/>
      <c r="G74" s="13"/>
      <c r="H74" s="13"/>
      <c r="I74" s="13"/>
      <c r="J74" s="13"/>
      <c r="K74" s="13"/>
      <c r="L74" s="13"/>
    </row>
    <row r="75" spans="3:12">
      <c r="F75" s="13"/>
      <c r="G75" s="13"/>
      <c r="H75" s="13"/>
      <c r="I75" s="13"/>
      <c r="J75" s="13"/>
      <c r="K75" s="13"/>
      <c r="L75" s="13"/>
    </row>
    <row r="76" spans="3:12">
      <c r="F76" s="13"/>
      <c r="G76" s="13"/>
      <c r="H76" s="13"/>
      <c r="I76" s="13"/>
      <c r="J76" s="13"/>
      <c r="K76" s="13"/>
      <c r="L76" s="13"/>
    </row>
    <row r="77" spans="3:12">
      <c r="F77" s="13"/>
      <c r="G77" s="13"/>
      <c r="H77" s="13"/>
      <c r="I77" s="13"/>
      <c r="J77" s="13"/>
      <c r="K77" s="13"/>
      <c r="L77" s="13"/>
    </row>
    <row r="78" spans="3:12">
      <c r="F78" s="13"/>
      <c r="G78" s="13"/>
      <c r="H78" s="13"/>
      <c r="I78" s="13"/>
      <c r="J78" s="13"/>
      <c r="K78" s="13"/>
      <c r="L78" s="13"/>
    </row>
    <row r="79" spans="3:12">
      <c r="F79" s="13"/>
      <c r="G79" s="13"/>
      <c r="H79" s="13"/>
      <c r="I79" s="13"/>
      <c r="J79" s="13"/>
      <c r="K79" s="13"/>
      <c r="L79" s="13"/>
    </row>
    <row r="80" spans="3:12">
      <c r="F80" s="13"/>
      <c r="G80" s="13"/>
      <c r="H80" s="13"/>
      <c r="I80" s="13"/>
      <c r="J80" s="13"/>
      <c r="K80" s="13"/>
      <c r="L80" s="13"/>
    </row>
    <row r="81" spans="6:12">
      <c r="F81" s="13"/>
      <c r="G81" s="13"/>
      <c r="H81" s="13"/>
      <c r="I81" s="13"/>
      <c r="J81" s="13"/>
      <c r="K81" s="13"/>
      <c r="L81" s="13"/>
    </row>
    <row r="82" spans="6:12">
      <c r="F82" s="13"/>
      <c r="G82" s="13"/>
      <c r="H82" s="13"/>
      <c r="I82" s="13"/>
      <c r="J82" s="13"/>
      <c r="K82" s="13"/>
      <c r="L82" s="13"/>
    </row>
    <row r="83" spans="6:12">
      <c r="F83" s="13"/>
      <c r="G83" s="13"/>
      <c r="H83" s="13"/>
      <c r="I83" s="13"/>
      <c r="J83" s="13"/>
      <c r="K83" s="13"/>
      <c r="L83" s="13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  <row r="104" spans="6:12">
      <c r="F104" s="2"/>
      <c r="G104" s="2"/>
      <c r="H104" s="2"/>
      <c r="I104" s="2"/>
      <c r="J104" s="2"/>
      <c r="K104" s="2"/>
      <c r="L104" s="2"/>
    </row>
    <row r="105" spans="6:12">
      <c r="F105" s="2"/>
      <c r="G105" s="2"/>
      <c r="H105" s="2"/>
      <c r="I105" s="2"/>
      <c r="J105" s="2"/>
      <c r="K105" s="2"/>
      <c r="L105" s="2"/>
    </row>
    <row r="106" spans="6:12">
      <c r="F106" s="2"/>
      <c r="G106" s="2"/>
      <c r="H106" s="2"/>
      <c r="I106" s="2"/>
      <c r="J106" s="2"/>
      <c r="K106" s="2"/>
      <c r="L106" s="2"/>
    </row>
    <row r="107" spans="6:12">
      <c r="F107" s="2"/>
      <c r="G107" s="2"/>
      <c r="H107" s="2"/>
      <c r="I107" s="2"/>
      <c r="J107" s="2"/>
      <c r="K107" s="2"/>
      <c r="L107" s="2"/>
    </row>
  </sheetData>
  <mergeCells count="6">
    <mergeCell ref="C10:N10"/>
    <mergeCell ref="C11:F11"/>
    <mergeCell ref="C12:C13"/>
    <mergeCell ref="D12:D13"/>
    <mergeCell ref="E12:E13"/>
    <mergeCell ref="F12:N12"/>
  </mergeCells>
  <pageMargins left="0.78740157480314965" right="0" top="0.39370078740157483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пояснительной</vt:lpstr>
      <vt:lpstr>к реш.</vt:lpstr>
      <vt:lpstr>'к пояснительной'!Область_печати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2022-12-09T09:42:15Z</cp:lastPrinted>
  <dcterms:created xsi:type="dcterms:W3CDTF">2004-09-08T09:13:27Z</dcterms:created>
  <dcterms:modified xsi:type="dcterms:W3CDTF">2022-12-09T09:42:20Z</dcterms:modified>
</cp:coreProperties>
</file>